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645" activeTab="0"/>
  </bookViews>
  <sheets>
    <sheet name="Project" sheetId="1" r:id="rId1"/>
    <sheet name="Floors" sheetId="2" r:id="rId2"/>
    <sheet name="Walls" sheetId="3" r:id="rId3"/>
    <sheet name="Windows-Doors" sheetId="4" r:id="rId4"/>
    <sheet name="Ceilings" sheetId="5" r:id="rId5"/>
    <sheet name="Systems" sheetId="6" r:id="rId6"/>
    <sheet name="Compliance" sheetId="7" r:id="rId7"/>
    <sheet name="vals_checks" sheetId="8" r:id="rId8"/>
  </sheets>
  <definedNames>
    <definedName name="Attic_add">'vals_checks'!$B$20</definedName>
    <definedName name="Ceil_R">'vals_checks'!$E$7</definedName>
    <definedName name="ceil_stud">'vals_checks'!$B$17</definedName>
    <definedName name="CFA">'Project'!$B$12</definedName>
    <definedName name="Door_U">'vals_checks'!$E$11</definedName>
    <definedName name="drywall">'vals_checks'!$B$8</definedName>
    <definedName name="F_Floor_R">'vals_checks'!$E$8</definedName>
    <definedName name="F_Wall_R">'vals_checks'!$E$6</definedName>
    <definedName name="FF_Ceil">'vals_checks'!$B$15</definedName>
    <definedName name="FF_Floor">'vals_checks'!$B$16</definedName>
    <definedName name="FF_Wall">'vals_checks'!$B$14</definedName>
    <definedName name="Floor_add">'vals_checks'!$B$19</definedName>
    <definedName name="Floor_R_Frame">'vals_checks'!#REF!</definedName>
    <definedName name="floor_stud">'vals_checks'!$B$18</definedName>
    <definedName name="in_film_D">'vals_checks'!$B$11</definedName>
    <definedName name="in_film_H">'vals_checks'!$B$9</definedName>
    <definedName name="in_film_U">'vals_checks'!$B$10</definedName>
    <definedName name="M_Wall_R_ext">'vals_checks'!$E$5</definedName>
    <definedName name="M_Wall_R_int">'vals_checks'!$E$4</definedName>
    <definedName name="NS">'Project'!$B$15</definedName>
    <definedName name="out_film">'vals_checks'!$B$4</definedName>
    <definedName name="out_skin_CB">'vals_checks'!$B$6</definedName>
    <definedName name="out_skin_F">'vals_checks'!$B$5</definedName>
    <definedName name="roof_pitch">'Project'!$B$14</definedName>
    <definedName name="wall_add_CB">'vals_checks'!$B$13</definedName>
    <definedName name="wall_add_F">'vals_checks'!$B$12</definedName>
    <definedName name="wall_height">'Project'!$B$16</definedName>
    <definedName name="wall_stud">'vals_checks'!$B$7</definedName>
    <definedName name="WFA_max">'vals_checks'!$E$12</definedName>
    <definedName name="Win_SHGC">'vals_checks'!$E$10</definedName>
    <definedName name="Win_U">'vals_checks'!$E$9</definedName>
  </definedNames>
  <calcPr fullCalcOnLoad="1"/>
</workbook>
</file>

<file path=xl/sharedStrings.xml><?xml version="1.0" encoding="utf-8"?>
<sst xmlns="http://schemas.openxmlformats.org/spreadsheetml/2006/main" count="288" uniqueCount="223">
  <si>
    <t>Frame</t>
  </si>
  <si>
    <t>Totals:</t>
  </si>
  <si>
    <t>out_film</t>
  </si>
  <si>
    <t>Name</t>
  </si>
  <si>
    <t>drywall</t>
  </si>
  <si>
    <t>in_film-H</t>
  </si>
  <si>
    <t>in_film-U</t>
  </si>
  <si>
    <t>in_film-D</t>
  </si>
  <si>
    <t>wall_add-F</t>
  </si>
  <si>
    <t>wall_add-CB</t>
  </si>
  <si>
    <t>out_skin-F</t>
  </si>
  <si>
    <t>out_skin-CB</t>
  </si>
  <si>
    <t>Walls</t>
  </si>
  <si>
    <t xml:space="preserve"> area 
(sq.ft.)</t>
  </si>
  <si>
    <t>U-Factor</t>
  </si>
  <si>
    <t>Type</t>
  </si>
  <si>
    <t>SHGC</t>
  </si>
  <si>
    <t>area 
(sq.ft.)</t>
  </si>
  <si>
    <t>Walls:</t>
  </si>
  <si>
    <t>Windows:</t>
  </si>
  <si>
    <t>Doors:</t>
  </si>
  <si>
    <t>Calculations:</t>
  </si>
  <si>
    <t>Mass</t>
  </si>
  <si>
    <t>Interior</t>
  </si>
  <si>
    <t>Exterior</t>
  </si>
  <si>
    <t>Drop down input lists:</t>
  </si>
  <si>
    <t>No.</t>
  </si>
  <si>
    <t>deficit
UA</t>
  </si>
  <si>
    <t>Baselines:</t>
  </si>
  <si>
    <t>Value</t>
  </si>
  <si>
    <t>Constructs:</t>
  </si>
  <si>
    <t>Win_U</t>
  </si>
  <si>
    <t>Door_U</t>
  </si>
  <si>
    <t>Ceil_R</t>
  </si>
  <si>
    <t>Win_SHGC</t>
  </si>
  <si>
    <t>WFA_max</t>
  </si>
  <si>
    <t>Total/Avg:</t>
  </si>
  <si>
    <t>Max</t>
  </si>
  <si>
    <t>Ceilings</t>
  </si>
  <si>
    <t>Attic_add</t>
  </si>
  <si>
    <t>Floors</t>
  </si>
  <si>
    <t>Basement</t>
  </si>
  <si>
    <t>Crawlspace</t>
  </si>
  <si>
    <t>Component</t>
  </si>
  <si>
    <t>Window SHGC:</t>
  </si>
  <si>
    <t>Floor_add</t>
  </si>
  <si>
    <t>City:</t>
  </si>
  <si>
    <t>Zip code:</t>
  </si>
  <si>
    <t>State</t>
  </si>
  <si>
    <t>Florida</t>
  </si>
  <si>
    <t>Notes:</t>
  </si>
  <si>
    <t>Insulation only R-value for infill insulation between framing members</t>
  </si>
  <si>
    <t>Insulation R-Value for mass wall insulation and continuous sheating on framed walls</t>
  </si>
  <si>
    <t>For mass wall systems only - leave blank for frame wall systems</t>
  </si>
  <si>
    <t>UA Compliance Calculations (FL Code)</t>
  </si>
  <si>
    <t>1679 Clearlake Road</t>
  </si>
  <si>
    <t>Cocoa</t>
  </si>
  <si>
    <t>Step 2:  Click on tabs at bottm for each building component and enter As-Built component data in highlighted cells for each tab</t>
  </si>
  <si>
    <t>type</t>
  </si>
  <si>
    <t>Supply duct location</t>
  </si>
  <si>
    <t>Return duct location</t>
  </si>
  <si>
    <t>Attic</t>
  </si>
  <si>
    <t>Garage</t>
  </si>
  <si>
    <t>Conditioned space</t>
  </si>
  <si>
    <t>Air Distribution System Leakage</t>
  </si>
  <si>
    <t>ADS</t>
  </si>
  <si>
    <t>Tested leak free</t>
  </si>
  <si>
    <t>Ductless system</t>
  </si>
  <si>
    <t>Air Handler Unit location</t>
  </si>
  <si>
    <t>Comment/instruction</t>
  </si>
  <si>
    <t>Conditioned Floor Area (CFA):</t>
  </si>
  <si>
    <t>None</t>
  </si>
  <si>
    <t>ducts</t>
  </si>
  <si>
    <t>AHU</t>
  </si>
  <si>
    <t>Wall</t>
  </si>
  <si>
    <t>Use pull down list</t>
  </si>
  <si>
    <t>Use pull down list (select 'Wall' for wall/window mounted packaged units)</t>
  </si>
  <si>
    <t>Enter R-value</t>
  </si>
  <si>
    <t>Return duct insulation</t>
  </si>
  <si>
    <t>Supply duct insulation</t>
  </si>
  <si>
    <t>Number of bedrooms:</t>
  </si>
  <si>
    <t>Single- or multi-family:</t>
  </si>
  <si>
    <t>Builder Name:</t>
  </si>
  <si>
    <t>Enter name of entity seeking permit</t>
  </si>
  <si>
    <t>No. of units if multi-family:</t>
  </si>
  <si>
    <t>Step 1:  Enter all project information called for in highlighted cells below:</t>
  </si>
  <si>
    <t>Enter location of real property seeking permit</t>
  </si>
  <si>
    <t>Address:</t>
  </si>
  <si>
    <t>Heating, Cooling and Hot Water Systems</t>
  </si>
  <si>
    <t>SEER</t>
  </si>
  <si>
    <t>HSPF (if electric)</t>
  </si>
  <si>
    <t>AFUE (if natural gas)</t>
  </si>
  <si>
    <t>Central</t>
  </si>
  <si>
    <t>Packaged</t>
  </si>
  <si>
    <t>Use pull down list (select 'Packaged' for wall/window mounted packaged units)</t>
  </si>
  <si>
    <t>Enter value (for multiple systems enter capacity weighted value)</t>
  </si>
  <si>
    <t>Hot Water Systems:</t>
  </si>
  <si>
    <t>Cooling Systems:</t>
  </si>
  <si>
    <t>Heating Systems:</t>
  </si>
  <si>
    <t>Air Distribution Systems:</t>
  </si>
  <si>
    <t>Size (gallons)</t>
  </si>
  <si>
    <t>Enter tank capacity (enter 1 gallon for tankless systems)</t>
  </si>
  <si>
    <t>Energy Factor (EF)</t>
  </si>
  <si>
    <t>Solar</t>
  </si>
  <si>
    <t>Yes</t>
  </si>
  <si>
    <t>No</t>
  </si>
  <si>
    <t>Enter rated EF</t>
  </si>
  <si>
    <t>Foundation
Type</t>
  </si>
  <si>
    <t>Slab on grade</t>
  </si>
  <si>
    <t>Floor/slab
R-Value</t>
  </si>
  <si>
    <t>John Q. Hammer</t>
  </si>
  <si>
    <t>Owner:</t>
  </si>
  <si>
    <t>Enter name of owner</t>
  </si>
  <si>
    <t>FSEC</t>
  </si>
  <si>
    <t>HW</t>
  </si>
  <si>
    <t>Electric</t>
  </si>
  <si>
    <t>Natural gas</t>
  </si>
  <si>
    <t>Named variables used in calculations:</t>
  </si>
  <si>
    <t>FF_Floor</t>
  </si>
  <si>
    <t>FF_Ceil</t>
  </si>
  <si>
    <t>FF_Wall</t>
  </si>
  <si>
    <t>wall_stud</t>
  </si>
  <si>
    <t>ceil_stud</t>
  </si>
  <si>
    <t>floor_stud</t>
  </si>
  <si>
    <t>Total:</t>
  </si>
  <si>
    <t>Total</t>
  </si>
  <si>
    <t>Wgt-Avg</t>
  </si>
  <si>
    <t>F_Floor_R</t>
  </si>
  <si>
    <t>F_Wall_R</t>
  </si>
  <si>
    <t>M_Wall_R-ext</t>
  </si>
  <si>
    <t>M_Wall_R-int</t>
  </si>
  <si>
    <t>Calculation checks:</t>
  </si>
  <si>
    <t>Average wall height:</t>
  </si>
  <si>
    <t>Enter in feet</t>
  </si>
  <si>
    <t>Min Area</t>
  </si>
  <si>
    <t>Max Area</t>
  </si>
  <si>
    <t>Ceiling</t>
  </si>
  <si>
    <t>Floor</t>
  </si>
  <si>
    <t>error allowance</t>
  </si>
  <si>
    <t>Variables and Comments:</t>
  </si>
  <si>
    <t>Roof</t>
  </si>
  <si>
    <t>L/W ratio -2% error allowance</t>
  </si>
  <si>
    <t>L/W ratio +2% error allowance</t>
  </si>
  <si>
    <t>for knee walls and error allowance</t>
  </si>
  <si>
    <t>roof pitch minus X</t>
  </si>
  <si>
    <t>Number of stories above grade (1):</t>
  </si>
  <si>
    <t>Enter Florida city</t>
  </si>
  <si>
    <t>Enter local zip code</t>
  </si>
  <si>
    <t>Enter whole number to nearest number of square feet</t>
  </si>
  <si>
    <t>Enter whole number</t>
  </si>
  <si>
    <t>icyo_R_per_in</t>
  </si>
  <si>
    <t>dem_R_per_in</t>
  </si>
  <si>
    <t>Vented</t>
  </si>
  <si>
    <t>Sealed</t>
  </si>
  <si>
    <t>Attic (1)
type</t>
  </si>
  <si>
    <t>Ceiling (3)
R-Value</t>
  </si>
  <si>
    <t xml:space="preserve">1. </t>
  </si>
  <si>
    <t xml:space="preserve">2. </t>
  </si>
  <si>
    <t xml:space="preserve">3. </t>
  </si>
  <si>
    <t xml:space="preserve">4. </t>
  </si>
  <si>
    <t>Enter square feet of ceiling area (required entry for all attic types)</t>
  </si>
  <si>
    <t>Roof (4)
R-Value</t>
  </si>
  <si>
    <t>Roof (5)
Pitch</t>
  </si>
  <si>
    <t>If Attic type is 'Vented' enter Ceiling R-Value this column and leave 'Roof R-value' blank</t>
  </si>
  <si>
    <t>If Attic type is 'Sealed' enter Roof R-Value this column and leave 'Ceiling R-value' blank</t>
  </si>
  <si>
    <t xml:space="preserve">5. </t>
  </si>
  <si>
    <t>If Attic type is 'Sealed' enter inches of roof rise for each 12 inches of run</t>
  </si>
  <si>
    <t xml:space="preserve"> Ceiling (2)
area (sq.ft.)</t>
  </si>
  <si>
    <t>Select either 'Vented' or 'Sealed' from pull down list</t>
  </si>
  <si>
    <t>Wall
type</t>
  </si>
  <si>
    <t>Net area (1)
(sq. ft.)</t>
  </si>
  <si>
    <t>Infil (2)
R-value</t>
  </si>
  <si>
    <t>Cont (3)
R-Value</t>
  </si>
  <si>
    <t>Insul (4)
location</t>
  </si>
  <si>
    <t>Net wall area equals total extererior wall area minus total area of all windows and doors</t>
  </si>
  <si>
    <t>Walls of the same type with the same insulation may be grouped as a single entry.</t>
  </si>
  <si>
    <t>Windows and doors with the same U-factor and SHGC may be grouped as a single entry.</t>
  </si>
  <si>
    <r>
      <rPr>
        <b/>
        <sz val="11"/>
        <color indexed="10"/>
        <rFont val="Calibri"/>
        <family val="2"/>
      </rPr>
      <t>Note 1:</t>
    </r>
    <r>
      <rPr>
        <sz val="11"/>
        <color indexed="10"/>
        <rFont val="Calibri"/>
        <family val="2"/>
      </rPr>
      <t xml:space="preserve">  For split level homes, enter fractional value representing footprint ratio of multiple levels (e.g. if home footprint is 50% one-story and 50% two-story, then enter 1.5 -- OR if home footprint is 33% one-story and 67% two-story, then enter 1.67).</t>
    </r>
  </si>
  <si>
    <r>
      <t xml:space="preserve">Attics, Ceilings &amp; Roofs </t>
    </r>
    <r>
      <rPr>
        <sz val="11"/>
        <color indexed="10"/>
        <rFont val="Calibri"/>
        <family val="2"/>
      </rPr>
      <t>(see also notes 1, 2, 3, 4 &amp; 5 below table)</t>
    </r>
  </si>
  <si>
    <t>Attics, Ceilings &amp; Roofs (see also notes 1, 2, 3, 4 &amp; 5 below table)</t>
  </si>
  <si>
    <t>Comments/instructions</t>
  </si>
  <si>
    <r>
      <t xml:space="preserve">Enter decimal value </t>
    </r>
    <r>
      <rPr>
        <i/>
        <sz val="11"/>
        <color indexed="10"/>
        <rFont val="Calibri"/>
        <family val="2"/>
      </rPr>
      <t xml:space="preserve">(See Note 1 below) </t>
    </r>
  </si>
  <si>
    <t>Window-to-Floor Area:</t>
  </si>
  <si>
    <t>Wall area</t>
  </si>
  <si>
    <t>Ceiling area</t>
  </si>
  <si>
    <t>Floor area</t>
  </si>
  <si>
    <t xml:space="preserve"> Floor area 
(sq.ft.)</t>
  </si>
  <si>
    <t>Roof reflectance (solar):</t>
  </si>
  <si>
    <t>Enter tested solar reflectance of roof surface in accordance with ????</t>
  </si>
  <si>
    <t>Roof reflectance</t>
  </si>
  <si>
    <t>Roof pitch:</t>
  </si>
  <si>
    <t>Enter inches of roof rise for each 12 inches of roof run</t>
  </si>
  <si>
    <t>Windows &amp; Doors</t>
  </si>
  <si>
    <t>Cooling System</t>
  </si>
  <si>
    <t>Hot Water System</t>
  </si>
  <si>
    <t>Air Distribution System</t>
  </si>
  <si>
    <t>Overall UA:</t>
  </si>
  <si>
    <t>UA Calculation Summary</t>
  </si>
  <si>
    <t>Compliance Report:</t>
  </si>
  <si>
    <t>Heating Systems</t>
  </si>
  <si>
    <t>Natural Gas</t>
  </si>
  <si>
    <t>Enter percent value, if applicable (for multiple systems enter capacity weighted value)</t>
  </si>
  <si>
    <t>Enter decimal value, if applicable (for multiple systems enter capacity weighted value)</t>
  </si>
  <si>
    <t>Location</t>
  </si>
  <si>
    <t>Duct Insulation</t>
  </si>
  <si>
    <t>Air Leakage</t>
  </si>
  <si>
    <t>%WFA</t>
  </si>
  <si>
    <t>Other</t>
  </si>
  <si>
    <t>Single-Family</t>
  </si>
  <si>
    <t>Multi-Family</t>
  </si>
  <si>
    <t>House type</t>
  </si>
  <si>
    <t>Ceiling 
slope</t>
  </si>
  <si>
    <t>Ceiling
area</t>
  </si>
  <si>
    <t>Net Walls</t>
  </si>
  <si>
    <r>
      <rPr>
        <sz val="14"/>
        <color indexed="10"/>
        <rFont val="Calibri"/>
        <family val="2"/>
      </rPr>
      <t>Net</t>
    </r>
    <r>
      <rPr>
        <sz val="14"/>
        <color indexed="8"/>
        <rFont val="Calibri"/>
        <family val="2"/>
      </rPr>
      <t xml:space="preserve"> Walls </t>
    </r>
    <r>
      <rPr>
        <sz val="11"/>
        <color indexed="10"/>
        <rFont val="Calibri"/>
        <family val="2"/>
      </rPr>
      <t>(see also notes 1, 2, 3 &amp; 4 below table)</t>
    </r>
  </si>
  <si>
    <t>Window &amp; Doors</t>
  </si>
  <si>
    <t>cathedral</t>
  </si>
  <si>
    <t>Project Name:</t>
  </si>
  <si>
    <t>Enter Project Name</t>
  </si>
  <si>
    <t>All Min-Code</t>
  </si>
  <si>
    <t>Baseline
UA</t>
  </si>
  <si>
    <t>Proposed UA</t>
  </si>
  <si>
    <t>Proposed
UA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</si>
</sst>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i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medium"/>
      <bottom style="medium"/>
    </border>
    <border>
      <left style="double"/>
      <right/>
      <top style="double"/>
      <bottom/>
    </border>
    <border>
      <left style="medium"/>
      <right/>
      <top style="double"/>
      <bottom/>
    </border>
    <border>
      <left/>
      <right/>
      <top style="double"/>
      <bottom style="medium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medium"/>
      <bottom/>
    </border>
    <border>
      <left>
        <color indexed="63"/>
      </left>
      <right style="double"/>
      <top/>
      <bottom/>
    </border>
    <border>
      <left>
        <color indexed="63"/>
      </left>
      <right style="double"/>
      <top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42" fillId="0" borderId="15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9" fontId="0" fillId="0" borderId="0" xfId="0" applyNumberFormat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 horizontal="right"/>
    </xf>
    <xf numFmtId="2" fontId="4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vertical="center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33" borderId="0" xfId="0" applyFill="1" applyAlignment="1" applyProtection="1">
      <alignment horizontal="right"/>
      <protection locked="0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/>
    </xf>
    <xf numFmtId="164" fontId="0" fillId="33" borderId="22" xfId="0" applyNumberForma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2" fontId="0" fillId="0" borderId="27" xfId="0" applyNumberFormat="1" applyBorder="1" applyAlignment="1">
      <alignment/>
    </xf>
    <xf numFmtId="0" fontId="0" fillId="0" borderId="0" xfId="0" applyFill="1" applyAlignment="1" applyProtection="1">
      <alignment horizontal="righ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 applyProtection="1">
      <alignment horizontal="right"/>
      <protection locked="0"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32" xfId="0" applyBorder="1" applyAlignment="1">
      <alignment horizontal="right" vertical="center" wrapText="1"/>
    </xf>
    <xf numFmtId="164" fontId="0" fillId="33" borderId="3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64" fontId="0" fillId="33" borderId="34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0" fontId="0" fillId="0" borderId="35" xfId="0" applyBorder="1" applyAlignment="1">
      <alignment horizontal="right" vertical="center" wrapText="1"/>
    </xf>
    <xf numFmtId="2" fontId="0" fillId="33" borderId="22" xfId="0" applyNumberFormat="1" applyFill="1" applyBorder="1" applyAlignment="1" applyProtection="1">
      <alignment/>
      <protection locked="0"/>
    </xf>
    <xf numFmtId="2" fontId="0" fillId="33" borderId="36" xfId="0" applyNumberFormat="1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164" fontId="0" fillId="33" borderId="23" xfId="0" applyNumberFormat="1" applyFill="1" applyBorder="1" applyAlignment="1" applyProtection="1">
      <alignment/>
      <protection locked="0"/>
    </xf>
    <xf numFmtId="0" fontId="0" fillId="0" borderId="0" xfId="0" applyAlignment="1" quotePrefix="1">
      <alignment horizontal="center"/>
    </xf>
    <xf numFmtId="9" fontId="0" fillId="0" borderId="0" xfId="0" applyNumberFormat="1" applyAlignment="1" quotePrefix="1">
      <alignment horizontal="center"/>
    </xf>
    <xf numFmtId="9" fontId="0" fillId="0" borderId="0" xfId="0" applyNumberFormat="1" applyAlignment="1">
      <alignment horizontal="center"/>
    </xf>
    <xf numFmtId="2" fontId="0" fillId="33" borderId="0" xfId="0" applyNumberFormat="1" applyFill="1" applyAlignment="1" applyProtection="1">
      <alignment horizontal="right"/>
      <protection locked="0"/>
    </xf>
    <xf numFmtId="0" fontId="0" fillId="0" borderId="38" xfId="0" applyBorder="1" applyAlignment="1">
      <alignment horizontal="right" vertical="center" wrapText="1"/>
    </xf>
    <xf numFmtId="164" fontId="0" fillId="33" borderId="39" xfId="0" applyNumberFormat="1" applyFill="1" applyBorder="1" applyAlignment="1" applyProtection="1">
      <alignment/>
      <protection locked="0"/>
    </xf>
    <xf numFmtId="164" fontId="0" fillId="33" borderId="4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41" xfId="0" applyBorder="1" applyAlignment="1">
      <alignment horizontal="right" vertical="center" wrapText="1"/>
    </xf>
    <xf numFmtId="1" fontId="0" fillId="33" borderId="42" xfId="0" applyNumberFormat="1" applyFill="1" applyBorder="1" applyAlignment="1" applyProtection="1">
      <alignment/>
      <protection locked="0"/>
    </xf>
    <xf numFmtId="1" fontId="0" fillId="33" borderId="43" xfId="0" applyNumberFormat="1" applyFill="1" applyBorder="1" applyAlignment="1" applyProtection="1">
      <alignment/>
      <protection locked="0"/>
    </xf>
    <xf numFmtId="0" fontId="0" fillId="0" borderId="2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33" borderId="42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42" fillId="0" borderId="0" xfId="0" applyFont="1" applyAlignment="1">
      <alignment horizontal="right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 quotePrefix="1">
      <alignment horizontal="right"/>
    </xf>
    <xf numFmtId="0" fontId="46" fillId="0" borderId="0" xfId="0" applyFont="1" applyAlignment="1" quotePrefix="1">
      <alignment horizontal="right" vertical="top"/>
    </xf>
    <xf numFmtId="0" fontId="42" fillId="0" borderId="44" xfId="0" applyFont="1" applyBorder="1" applyAlignment="1">
      <alignment horizontal="right"/>
    </xf>
    <xf numFmtId="1" fontId="42" fillId="0" borderId="45" xfId="0" applyNumberFormat="1" applyFont="1" applyBorder="1" applyAlignment="1">
      <alignment/>
    </xf>
    <xf numFmtId="0" fontId="0" fillId="0" borderId="0" xfId="0" applyAlignment="1">
      <alignment horizontal="left" indent="1"/>
    </xf>
    <xf numFmtId="9" fontId="0" fillId="33" borderId="0" xfId="0" applyNumberFormat="1" applyFont="1" applyFill="1" applyAlignment="1" applyProtection="1">
      <alignment horizontal="right"/>
      <protection locked="0"/>
    </xf>
    <xf numFmtId="0" fontId="47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3" fillId="0" borderId="0" xfId="0" applyFont="1" applyAlignment="1">
      <alignment horizontal="left" indent="1"/>
    </xf>
    <xf numFmtId="2" fontId="43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49" fillId="0" borderId="0" xfId="0" applyFont="1" applyAlignment="1">
      <alignment horizontal="right"/>
    </xf>
    <xf numFmtId="2" fontId="49" fillId="0" borderId="0" xfId="0" applyNumberFormat="1" applyFont="1" applyAlignment="1">
      <alignment horizontal="right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23" xfId="0" applyFill="1" applyBorder="1" applyAlignment="1" applyProtection="1">
      <alignment horizontal="right"/>
      <protection locked="0"/>
    </xf>
    <xf numFmtId="0" fontId="0" fillId="33" borderId="20" xfId="0" applyFill="1" applyBorder="1" applyAlignment="1" applyProtection="1">
      <alignment horizontal="right"/>
      <protection locked="0"/>
    </xf>
    <xf numFmtId="0" fontId="0" fillId="33" borderId="21" xfId="0" applyFill="1" applyBorder="1" applyAlignment="1" applyProtection="1">
      <alignment horizontal="right"/>
      <protection locked="0"/>
    </xf>
    <xf numFmtId="0" fontId="26" fillId="0" borderId="0" xfId="0" applyFont="1" applyAlignment="1">
      <alignment horizontal="right"/>
    </xf>
    <xf numFmtId="0" fontId="0" fillId="33" borderId="46" xfId="0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6" fillId="0" borderId="0" xfId="0" applyFont="1" applyAlignment="1">
      <alignment horizontal="right" wrapText="1"/>
    </xf>
    <xf numFmtId="0" fontId="26" fillId="33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 horizontal="right" vertical="center" wrapText="1"/>
    </xf>
    <xf numFmtId="2" fontId="0" fillId="0" borderId="0" xfId="0" applyNumberFormat="1" applyBorder="1" applyAlignment="1">
      <alignment/>
    </xf>
    <xf numFmtId="0" fontId="0" fillId="0" borderId="19" xfId="0" applyBorder="1" applyAlignment="1">
      <alignment horizontal="right" vertical="center" wrapText="1"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42" fillId="0" borderId="49" xfId="0" applyNumberFormat="1" applyFont="1" applyBorder="1" applyAlignment="1">
      <alignment/>
    </xf>
    <xf numFmtId="0" fontId="0" fillId="0" borderId="50" xfId="0" applyBorder="1" applyAlignment="1">
      <alignment horizontal="right" vertical="center" wrapText="1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50" fillId="0" borderId="0" xfId="0" applyFont="1" applyAlignment="1">
      <alignment horizontal="left" wrapText="1" inden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51" fillId="0" borderId="51" xfId="0" applyFont="1" applyFill="1" applyBorder="1" applyAlignment="1">
      <alignment/>
    </xf>
    <xf numFmtId="0" fontId="0" fillId="0" borderId="51" xfId="0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1.8515625" style="0" customWidth="1"/>
    <col min="2" max="2" width="24.421875" style="0" customWidth="1"/>
    <col min="3" max="3" width="2.8515625" style="0" customWidth="1"/>
  </cols>
  <sheetData>
    <row r="1" spans="1:2" ht="18.75">
      <c r="A1" s="135" t="s">
        <v>54</v>
      </c>
      <c r="B1" s="136"/>
    </row>
    <row r="2" spans="1:4" ht="29.25" customHeight="1">
      <c r="A2" s="134" t="s">
        <v>85</v>
      </c>
      <c r="B2" s="134"/>
      <c r="D2" s="91" t="s">
        <v>180</v>
      </c>
    </row>
    <row r="3" spans="1:4" ht="15" customHeight="1">
      <c r="A3" s="118" t="s">
        <v>217</v>
      </c>
      <c r="B3" s="119" t="s">
        <v>219</v>
      </c>
      <c r="D3" s="92" t="s">
        <v>218</v>
      </c>
    </row>
    <row r="4" spans="1:4" ht="15">
      <c r="A4" s="29" t="s">
        <v>111</v>
      </c>
      <c r="B4" s="37" t="s">
        <v>113</v>
      </c>
      <c r="D4" s="92" t="s">
        <v>112</v>
      </c>
    </row>
    <row r="5" spans="1:4" ht="15">
      <c r="A5" s="29" t="s">
        <v>87</v>
      </c>
      <c r="B5" s="37" t="s">
        <v>55</v>
      </c>
      <c r="C5" s="1"/>
      <c r="D5" s="93" t="s">
        <v>86</v>
      </c>
    </row>
    <row r="6" spans="1:4" ht="15">
      <c r="A6" s="1" t="s">
        <v>46</v>
      </c>
      <c r="B6" s="37" t="s">
        <v>56</v>
      </c>
      <c r="C6" s="1"/>
      <c r="D6" s="93" t="s">
        <v>146</v>
      </c>
    </row>
    <row r="7" spans="1:4" ht="15">
      <c r="A7" s="1" t="s">
        <v>48</v>
      </c>
      <c r="B7" s="29" t="s">
        <v>49</v>
      </c>
      <c r="C7" s="1"/>
      <c r="D7" s="93"/>
    </row>
    <row r="8" spans="1:4" ht="15">
      <c r="A8" s="1" t="s">
        <v>47</v>
      </c>
      <c r="B8" s="37">
        <v>32922</v>
      </c>
      <c r="C8" s="1"/>
      <c r="D8" s="93" t="s">
        <v>147</v>
      </c>
    </row>
    <row r="9" spans="1:4" ht="15">
      <c r="A9" s="29"/>
      <c r="B9" s="47"/>
      <c r="C9" s="29"/>
      <c r="D9" s="93"/>
    </row>
    <row r="10" spans="1:4" ht="15">
      <c r="A10" s="29" t="s">
        <v>82</v>
      </c>
      <c r="B10" s="37" t="s">
        <v>110</v>
      </c>
      <c r="C10" s="29"/>
      <c r="D10" s="93" t="s">
        <v>83</v>
      </c>
    </row>
    <row r="11" ht="15">
      <c r="D11" s="93"/>
    </row>
    <row r="12" spans="1:4" ht="15">
      <c r="A12" s="29" t="s">
        <v>70</v>
      </c>
      <c r="B12" s="37">
        <v>2000</v>
      </c>
      <c r="C12" s="1"/>
      <c r="D12" s="93" t="s">
        <v>148</v>
      </c>
    </row>
    <row r="13" spans="1:4" ht="15">
      <c r="A13" s="29" t="s">
        <v>187</v>
      </c>
      <c r="B13" s="73">
        <v>0.25</v>
      </c>
      <c r="C13" s="29"/>
      <c r="D13" s="93" t="s">
        <v>188</v>
      </c>
    </row>
    <row r="14" spans="1:4" ht="15">
      <c r="A14" s="29" t="s">
        <v>190</v>
      </c>
      <c r="B14" s="37">
        <v>6</v>
      </c>
      <c r="C14" s="29"/>
      <c r="D14" s="93" t="s">
        <v>191</v>
      </c>
    </row>
    <row r="15" spans="1:4" ht="15">
      <c r="A15" s="29" t="s">
        <v>145</v>
      </c>
      <c r="B15" s="73">
        <v>1</v>
      </c>
      <c r="C15" s="29"/>
      <c r="D15" s="93" t="s">
        <v>181</v>
      </c>
    </row>
    <row r="16" spans="1:4" ht="15">
      <c r="A16" s="29" t="s">
        <v>132</v>
      </c>
      <c r="B16" s="37">
        <v>8.5</v>
      </c>
      <c r="C16" s="29"/>
      <c r="D16" s="93" t="s">
        <v>133</v>
      </c>
    </row>
    <row r="17" spans="1:4" ht="15">
      <c r="A17" s="29" t="s">
        <v>80</v>
      </c>
      <c r="B17" s="37">
        <v>3</v>
      </c>
      <c r="C17" s="29"/>
      <c r="D17" s="93" t="s">
        <v>149</v>
      </c>
    </row>
    <row r="18" spans="1:4" ht="15">
      <c r="A18" s="29" t="s">
        <v>81</v>
      </c>
      <c r="B18" s="37" t="s">
        <v>208</v>
      </c>
      <c r="C18" s="29"/>
      <c r="D18" s="93" t="s">
        <v>75</v>
      </c>
    </row>
    <row r="19" spans="1:4" ht="15">
      <c r="A19" s="29" t="s">
        <v>84</v>
      </c>
      <c r="B19" s="37"/>
      <c r="C19" s="29"/>
      <c r="D19" s="93" t="s">
        <v>149</v>
      </c>
    </row>
    <row r="20" spans="1:4" ht="15">
      <c r="A20" s="29"/>
      <c r="B20" s="47"/>
      <c r="C20" s="29"/>
      <c r="D20" s="24"/>
    </row>
    <row r="21" spans="1:10" ht="29.25" customHeight="1">
      <c r="A21" s="137" t="s">
        <v>177</v>
      </c>
      <c r="B21" s="137"/>
      <c r="C21" s="137"/>
      <c r="D21" s="137"/>
      <c r="E21" s="137"/>
      <c r="F21" s="137"/>
      <c r="G21" s="137"/>
      <c r="H21" s="137"/>
      <c r="I21" s="138"/>
      <c r="J21" s="138"/>
    </row>
    <row r="22" spans="2:4" ht="15">
      <c r="B22" s="47"/>
      <c r="C22" s="29"/>
      <c r="D22" s="24"/>
    </row>
    <row r="23" spans="1:2" ht="30" customHeight="1">
      <c r="A23" s="134" t="s">
        <v>57</v>
      </c>
      <c r="B23" s="134"/>
    </row>
    <row r="41" ht="15">
      <c r="B41" t="s">
        <v>210</v>
      </c>
    </row>
    <row r="43" ht="15">
      <c r="B43" t="s">
        <v>208</v>
      </c>
    </row>
    <row r="44" ht="15">
      <c r="B44" t="s">
        <v>209</v>
      </c>
    </row>
  </sheetData>
  <sheetProtection password="DC79" sheet="1" objects="1" scenarios="1"/>
  <mergeCells count="4">
    <mergeCell ref="A23:B23"/>
    <mergeCell ref="A1:B1"/>
    <mergeCell ref="A2:B2"/>
    <mergeCell ref="A21:J21"/>
  </mergeCells>
  <dataValidations count="1">
    <dataValidation type="list" allowBlank="1" showInputMessage="1" showErrorMessage="1" sqref="B18">
      <formula1>$B$42:$B$44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Zeros="0" zoomScalePageLayoutView="0" workbookViewId="0" topLeftCell="A1">
      <selection activeCell="A1" sqref="A1:B1"/>
    </sheetView>
  </sheetViews>
  <sheetFormatPr defaultColWidth="9.140625" defaultRowHeight="15"/>
  <cols>
    <col min="2" max="2" width="13.57421875" style="21" customWidth="1"/>
    <col min="3" max="3" width="10.57421875" style="0" customWidth="1"/>
    <col min="4" max="4" width="10.421875" style="0" customWidth="1"/>
    <col min="5" max="5" width="3.7109375" style="0" customWidth="1"/>
    <col min="7" max="7" width="10.7109375" style="0" customWidth="1"/>
  </cols>
  <sheetData>
    <row r="1" spans="1:2" ht="19.5" thickBot="1">
      <c r="A1" s="139" t="s">
        <v>40</v>
      </c>
      <c r="B1" s="140"/>
    </row>
    <row r="2" spans="1:8" ht="16.5" thickBot="1" thickTop="1">
      <c r="A2" s="10" t="s">
        <v>40</v>
      </c>
      <c r="B2" s="25"/>
      <c r="C2" s="18"/>
      <c r="D2" s="20"/>
      <c r="F2" s="26" t="s">
        <v>21</v>
      </c>
      <c r="G2" s="27"/>
      <c r="H2" s="28"/>
    </row>
    <row r="3" spans="1:8" ht="30" customHeight="1" thickBot="1">
      <c r="A3" s="9" t="s">
        <v>26</v>
      </c>
      <c r="B3" s="56" t="s">
        <v>107</v>
      </c>
      <c r="C3" s="39" t="s">
        <v>186</v>
      </c>
      <c r="D3" s="40" t="s">
        <v>109</v>
      </c>
      <c r="F3" s="38" t="s">
        <v>220</v>
      </c>
      <c r="G3" s="39" t="s">
        <v>221</v>
      </c>
      <c r="H3" s="40" t="s">
        <v>27</v>
      </c>
    </row>
    <row r="4" spans="1:8" ht="15">
      <c r="A4" s="6">
        <v>1</v>
      </c>
      <c r="B4" s="109" t="s">
        <v>108</v>
      </c>
      <c r="C4" s="42">
        <v>2000</v>
      </c>
      <c r="D4" s="58"/>
      <c r="F4" s="46">
        <f aca="true" t="shared" si="0" ref="F4:F13">IF($B4="Crawlspace",$C4*(1/(F_Floor_R+Floor_add)),0)</f>
        <v>0</v>
      </c>
      <c r="G4" s="35">
        <f aca="true" t="shared" si="1" ref="G4:G13">IF($B4="Crawlspace",$C4*(1/($D4+Floor_add)),0)</f>
        <v>0</v>
      </c>
      <c r="H4" s="33">
        <f>G4-F4</f>
        <v>0</v>
      </c>
    </row>
    <row r="5" spans="1:8" ht="15">
      <c r="A5" s="6">
        <v>2</v>
      </c>
      <c r="B5" s="109"/>
      <c r="C5" s="42"/>
      <c r="D5" s="58"/>
      <c r="F5" s="46">
        <f t="shared" si="0"/>
        <v>0</v>
      </c>
      <c r="G5" s="35">
        <f t="shared" si="1"/>
        <v>0</v>
      </c>
      <c r="H5" s="33">
        <f aca="true" t="shared" si="2" ref="H5:H13">G5-F5</f>
        <v>0</v>
      </c>
    </row>
    <row r="6" spans="1:8" ht="15">
      <c r="A6" s="6">
        <v>3</v>
      </c>
      <c r="B6" s="109"/>
      <c r="C6" s="42"/>
      <c r="D6" s="58"/>
      <c r="F6" s="46">
        <f t="shared" si="0"/>
        <v>0</v>
      </c>
      <c r="G6" s="35">
        <f t="shared" si="1"/>
        <v>0</v>
      </c>
      <c r="H6" s="33">
        <f t="shared" si="2"/>
        <v>0</v>
      </c>
    </row>
    <row r="7" spans="1:8" ht="15">
      <c r="A7" s="6">
        <v>4</v>
      </c>
      <c r="B7" s="109"/>
      <c r="C7" s="42"/>
      <c r="D7" s="58"/>
      <c r="F7" s="46">
        <f t="shared" si="0"/>
        <v>0</v>
      </c>
      <c r="G7" s="35">
        <f t="shared" si="1"/>
        <v>0</v>
      </c>
      <c r="H7" s="33">
        <f t="shared" si="2"/>
        <v>0</v>
      </c>
    </row>
    <row r="8" spans="1:8" ht="15">
      <c r="A8" s="6">
        <v>5</v>
      </c>
      <c r="B8" s="109"/>
      <c r="C8" s="42"/>
      <c r="D8" s="58"/>
      <c r="F8" s="46">
        <f t="shared" si="0"/>
        <v>0</v>
      </c>
      <c r="G8" s="35">
        <f t="shared" si="1"/>
        <v>0</v>
      </c>
      <c r="H8" s="33">
        <f t="shared" si="2"/>
        <v>0</v>
      </c>
    </row>
    <row r="9" spans="1:8" ht="15">
      <c r="A9" s="6">
        <v>6</v>
      </c>
      <c r="B9" s="109"/>
      <c r="C9" s="42"/>
      <c r="D9" s="58"/>
      <c r="F9" s="46">
        <f t="shared" si="0"/>
        <v>0</v>
      </c>
      <c r="G9" s="35">
        <f t="shared" si="1"/>
        <v>0</v>
      </c>
      <c r="H9" s="33">
        <f t="shared" si="2"/>
        <v>0</v>
      </c>
    </row>
    <row r="10" spans="1:8" ht="15">
      <c r="A10" s="6">
        <v>7</v>
      </c>
      <c r="B10" s="109"/>
      <c r="C10" s="42"/>
      <c r="D10" s="58"/>
      <c r="F10" s="46">
        <f t="shared" si="0"/>
        <v>0</v>
      </c>
      <c r="G10" s="35">
        <f t="shared" si="1"/>
        <v>0</v>
      </c>
      <c r="H10" s="33">
        <f t="shared" si="2"/>
        <v>0</v>
      </c>
    </row>
    <row r="11" spans="1:8" ht="15">
      <c r="A11" s="6">
        <v>8</v>
      </c>
      <c r="B11" s="109"/>
      <c r="C11" s="42"/>
      <c r="D11" s="58"/>
      <c r="F11" s="46">
        <f t="shared" si="0"/>
        <v>0</v>
      </c>
      <c r="G11" s="35">
        <f t="shared" si="1"/>
        <v>0</v>
      </c>
      <c r="H11" s="33">
        <f t="shared" si="2"/>
        <v>0</v>
      </c>
    </row>
    <row r="12" spans="1:8" ht="15">
      <c r="A12" s="6">
        <v>9</v>
      </c>
      <c r="B12" s="109"/>
      <c r="C12" s="42"/>
      <c r="D12" s="58"/>
      <c r="F12" s="46">
        <f t="shared" si="0"/>
        <v>0</v>
      </c>
      <c r="G12" s="35">
        <f t="shared" si="1"/>
        <v>0</v>
      </c>
      <c r="H12" s="33">
        <f t="shared" si="2"/>
        <v>0</v>
      </c>
    </row>
    <row r="13" spans="1:8" ht="15.75" thickBot="1">
      <c r="A13" s="8">
        <v>10</v>
      </c>
      <c r="B13" s="110"/>
      <c r="C13" s="69"/>
      <c r="D13" s="60"/>
      <c r="F13" s="55">
        <f t="shared" si="0"/>
        <v>0</v>
      </c>
      <c r="G13" s="36">
        <f t="shared" si="1"/>
        <v>0</v>
      </c>
      <c r="H13" s="34">
        <f t="shared" si="2"/>
        <v>0</v>
      </c>
    </row>
    <row r="14" spans="1:8" ht="15.75" hidden="1" thickTop="1">
      <c r="A14" t="s">
        <v>124</v>
      </c>
      <c r="C14" s="3">
        <f>SUM(C4:C13)</f>
        <v>2000</v>
      </c>
      <c r="D14" s="19"/>
      <c r="F14" s="2">
        <f>SUM(F4:F13)</f>
        <v>0</v>
      </c>
      <c r="G14" s="2">
        <f>SUM(G4:G13)</f>
        <v>0</v>
      </c>
      <c r="H14" s="2">
        <f>SUM(H4:H13)</f>
        <v>0</v>
      </c>
    </row>
    <row r="15" ht="15.75" thickTop="1"/>
    <row r="40" ht="15">
      <c r="B40" s="24" t="s">
        <v>15</v>
      </c>
    </row>
    <row r="41" ht="15">
      <c r="B41" s="24"/>
    </row>
    <row r="42" ht="15">
      <c r="B42" s="24" t="s">
        <v>108</v>
      </c>
    </row>
    <row r="43" ht="15">
      <c r="B43" s="24" t="s">
        <v>42</v>
      </c>
    </row>
    <row r="44" ht="15">
      <c r="B44" s="24" t="s">
        <v>41</v>
      </c>
    </row>
  </sheetData>
  <sheetProtection password="DC79" sheet="1" objects="1" scenarios="1"/>
  <mergeCells count="1">
    <mergeCell ref="A1:B1"/>
  </mergeCells>
  <dataValidations count="1">
    <dataValidation type="list" allowBlank="1" showInputMessage="1" showErrorMessage="1" sqref="B4:B13">
      <formula1>$B$41:$B$44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1" max="1" width="7.7109375" style="0" customWidth="1"/>
    <col min="2" max="2" width="8.7109375" style="1" customWidth="1"/>
    <col min="3" max="3" width="11.421875" style="0" customWidth="1"/>
    <col min="4" max="6" width="8.7109375" style="0" customWidth="1"/>
    <col min="7" max="7" width="3.7109375" style="0" customWidth="1"/>
    <col min="8" max="8" width="9.7109375" style="0" customWidth="1"/>
    <col min="9" max="9" width="10.7109375" style="0" customWidth="1"/>
    <col min="10" max="11" width="9.140625" style="0" customWidth="1"/>
  </cols>
  <sheetData>
    <row r="1" spans="1:11" ht="18.75">
      <c r="A1" s="141" t="s">
        <v>214</v>
      </c>
      <c r="B1" s="142"/>
      <c r="C1" s="142"/>
      <c r="D1" s="142"/>
      <c r="E1" s="142"/>
      <c r="F1" s="142"/>
      <c r="G1" s="136"/>
      <c r="H1" s="136"/>
      <c r="I1" s="136"/>
      <c r="J1" s="136"/>
      <c r="K1" s="1"/>
    </row>
    <row r="2" spans="1:11" s="22" customFormat="1" ht="15.75" thickBot="1">
      <c r="A2" s="145" t="s">
        <v>175</v>
      </c>
      <c r="B2" s="146"/>
      <c r="C2" s="146"/>
      <c r="D2" s="146"/>
      <c r="E2" s="146"/>
      <c r="F2" s="146"/>
      <c r="G2" s="146"/>
      <c r="H2" s="146"/>
      <c r="I2" s="146"/>
      <c r="J2" s="146"/>
      <c r="K2" s="90"/>
    </row>
    <row r="3" spans="1:10" ht="16.5" thickBot="1" thickTop="1">
      <c r="A3" s="10" t="s">
        <v>18</v>
      </c>
      <c r="B3" s="11"/>
      <c r="C3" s="12"/>
      <c r="D3" s="12"/>
      <c r="E3" s="12"/>
      <c r="F3" s="14"/>
      <c r="G3" s="15"/>
      <c r="H3" s="10" t="s">
        <v>21</v>
      </c>
      <c r="I3" s="4"/>
      <c r="J3" s="5"/>
    </row>
    <row r="4" spans="1:15" s="78" customFormat="1" ht="30.75" thickBot="1">
      <c r="A4" s="88" t="s">
        <v>26</v>
      </c>
      <c r="B4" s="89" t="s">
        <v>169</v>
      </c>
      <c r="C4" s="89" t="s">
        <v>170</v>
      </c>
      <c r="D4" s="89" t="s">
        <v>171</v>
      </c>
      <c r="E4" s="89" t="s">
        <v>172</v>
      </c>
      <c r="F4" s="83" t="s">
        <v>173</v>
      </c>
      <c r="G4" s="84"/>
      <c r="H4" s="88" t="s">
        <v>220</v>
      </c>
      <c r="I4" s="89" t="s">
        <v>221</v>
      </c>
      <c r="J4" s="83" t="s">
        <v>27</v>
      </c>
      <c r="L4" s="79"/>
      <c r="M4" s="79"/>
      <c r="N4" s="79"/>
      <c r="O4" s="79"/>
    </row>
    <row r="5" spans="1:10" ht="15">
      <c r="A5" s="41">
        <v>1</v>
      </c>
      <c r="B5" s="111" t="s">
        <v>0</v>
      </c>
      <c r="C5" s="42">
        <v>1163</v>
      </c>
      <c r="D5" s="43">
        <v>13</v>
      </c>
      <c r="E5" s="43"/>
      <c r="F5" s="113"/>
      <c r="G5" s="7"/>
      <c r="H5" s="46">
        <f aca="true" t="shared" si="0" ref="H5:H24">IF($B5="Mass",IF($F5="Interior",1/(M_Wall_R_int+wall_add_CB)*$C5,1/(M_Wall_R_ext+wall_add_CB)),IF($B5="Frame",1/(FF_Wall*wall_stud+(1-FF_Wall)*F_Wall_R+wall_add_F)*$C5,0))</f>
        <v>86.0445759733654</v>
      </c>
      <c r="I5" s="35">
        <f aca="true" t="shared" si="1" ref="I5:I24">IF($B5="Mass",IF($F5="Interior",1/($E5+wall_add_CB)*$C5,1/($E5+wall_add_CB)),IF($B5="Frame",1/(FF_Wall*wall_stud+(1-FF_Wall)*$D5+wall_add_F)*$C5,0))</f>
        <v>86.0445759733654</v>
      </c>
      <c r="J5" s="33">
        <f>I5-H5</f>
        <v>0</v>
      </c>
    </row>
    <row r="6" spans="1:10" ht="15">
      <c r="A6" s="41">
        <v>2</v>
      </c>
      <c r="B6" s="111"/>
      <c r="C6" s="42"/>
      <c r="D6" s="43"/>
      <c r="E6" s="43"/>
      <c r="F6" s="113"/>
      <c r="G6" s="7"/>
      <c r="H6" s="46">
        <f t="shared" si="0"/>
        <v>0</v>
      </c>
      <c r="I6" s="35">
        <f t="shared" si="1"/>
        <v>0</v>
      </c>
      <c r="J6" s="33">
        <f aca="true" t="shared" si="2" ref="J6:J24">I6-H6</f>
        <v>0</v>
      </c>
    </row>
    <row r="7" spans="1:10" ht="15">
      <c r="A7" s="41">
        <v>3</v>
      </c>
      <c r="B7" s="111"/>
      <c r="C7" s="42"/>
      <c r="D7" s="43"/>
      <c r="E7" s="43"/>
      <c r="F7" s="113"/>
      <c r="G7" s="7"/>
      <c r="H7" s="46">
        <f t="shared" si="0"/>
        <v>0</v>
      </c>
      <c r="I7" s="35">
        <f t="shared" si="1"/>
        <v>0</v>
      </c>
      <c r="J7" s="33">
        <f t="shared" si="2"/>
        <v>0</v>
      </c>
    </row>
    <row r="8" spans="1:10" ht="15">
      <c r="A8" s="41">
        <v>4</v>
      </c>
      <c r="B8" s="111"/>
      <c r="C8" s="42"/>
      <c r="D8" s="43"/>
      <c r="E8" s="43"/>
      <c r="F8" s="113"/>
      <c r="G8" s="7"/>
      <c r="H8" s="46">
        <f t="shared" si="0"/>
        <v>0</v>
      </c>
      <c r="I8" s="35">
        <f t="shared" si="1"/>
        <v>0</v>
      </c>
      <c r="J8" s="33">
        <f t="shared" si="2"/>
        <v>0</v>
      </c>
    </row>
    <row r="9" spans="1:10" ht="15">
      <c r="A9" s="41">
        <v>5</v>
      </c>
      <c r="B9" s="111"/>
      <c r="C9" s="42"/>
      <c r="D9" s="43"/>
      <c r="E9" s="43">
        <v>0</v>
      </c>
      <c r="F9" s="113"/>
      <c r="G9" s="7"/>
      <c r="H9" s="46">
        <f t="shared" si="0"/>
        <v>0</v>
      </c>
      <c r="I9" s="35">
        <f t="shared" si="1"/>
        <v>0</v>
      </c>
      <c r="J9" s="33">
        <f t="shared" si="2"/>
        <v>0</v>
      </c>
    </row>
    <row r="10" spans="1:10" ht="15">
      <c r="A10" s="41">
        <v>6</v>
      </c>
      <c r="B10" s="111"/>
      <c r="C10" s="42"/>
      <c r="D10" s="43"/>
      <c r="E10" s="43">
        <v>0</v>
      </c>
      <c r="F10" s="113"/>
      <c r="G10" s="7"/>
      <c r="H10" s="46">
        <f t="shared" si="0"/>
        <v>0</v>
      </c>
      <c r="I10" s="35">
        <f t="shared" si="1"/>
        <v>0</v>
      </c>
      <c r="J10" s="33">
        <f t="shared" si="2"/>
        <v>0</v>
      </c>
    </row>
    <row r="11" spans="1:10" ht="15">
      <c r="A11" s="41">
        <v>7</v>
      </c>
      <c r="B11" s="111"/>
      <c r="C11" s="42"/>
      <c r="D11" s="43"/>
      <c r="E11" s="43">
        <v>0</v>
      </c>
      <c r="F11" s="113"/>
      <c r="G11" s="7"/>
      <c r="H11" s="46">
        <f t="shared" si="0"/>
        <v>0</v>
      </c>
      <c r="I11" s="35">
        <f t="shared" si="1"/>
        <v>0</v>
      </c>
      <c r="J11" s="33">
        <f t="shared" si="2"/>
        <v>0</v>
      </c>
    </row>
    <row r="12" spans="1:10" ht="15">
      <c r="A12" s="41">
        <v>8</v>
      </c>
      <c r="B12" s="111"/>
      <c r="C12" s="42"/>
      <c r="D12" s="43"/>
      <c r="E12" s="43">
        <v>0</v>
      </c>
      <c r="F12" s="113"/>
      <c r="G12" s="7"/>
      <c r="H12" s="46">
        <f t="shared" si="0"/>
        <v>0</v>
      </c>
      <c r="I12" s="35">
        <f t="shared" si="1"/>
        <v>0</v>
      </c>
      <c r="J12" s="33">
        <f t="shared" si="2"/>
        <v>0</v>
      </c>
    </row>
    <row r="13" spans="1:10" ht="15">
      <c r="A13" s="41">
        <v>9</v>
      </c>
      <c r="B13" s="111"/>
      <c r="C13" s="43"/>
      <c r="D13" s="43"/>
      <c r="E13" s="43"/>
      <c r="F13" s="113"/>
      <c r="G13" s="7"/>
      <c r="H13" s="46">
        <f t="shared" si="0"/>
        <v>0</v>
      </c>
      <c r="I13" s="35">
        <f t="shared" si="1"/>
        <v>0</v>
      </c>
      <c r="J13" s="33">
        <f t="shared" si="2"/>
        <v>0</v>
      </c>
    </row>
    <row r="14" spans="1:10" ht="15">
      <c r="A14" s="41">
        <v>10</v>
      </c>
      <c r="B14" s="111"/>
      <c r="C14" s="43"/>
      <c r="D14" s="43"/>
      <c r="E14" s="43"/>
      <c r="F14" s="113"/>
      <c r="G14" s="7"/>
      <c r="H14" s="46">
        <f t="shared" si="0"/>
        <v>0</v>
      </c>
      <c r="I14" s="35">
        <f t="shared" si="1"/>
        <v>0</v>
      </c>
      <c r="J14" s="33">
        <f t="shared" si="2"/>
        <v>0</v>
      </c>
    </row>
    <row r="15" spans="1:10" ht="15">
      <c r="A15" s="41">
        <v>11</v>
      </c>
      <c r="B15" s="111"/>
      <c r="C15" s="43"/>
      <c r="D15" s="43"/>
      <c r="E15" s="43"/>
      <c r="F15" s="113"/>
      <c r="G15" s="7"/>
      <c r="H15" s="46">
        <f t="shared" si="0"/>
        <v>0</v>
      </c>
      <c r="I15" s="35">
        <f t="shared" si="1"/>
        <v>0</v>
      </c>
      <c r="J15" s="33">
        <f t="shared" si="2"/>
        <v>0</v>
      </c>
    </row>
    <row r="16" spans="1:10" ht="15">
      <c r="A16" s="41">
        <v>12</v>
      </c>
      <c r="B16" s="111"/>
      <c r="C16" s="43"/>
      <c r="D16" s="43"/>
      <c r="E16" s="43"/>
      <c r="F16" s="113"/>
      <c r="G16" s="7"/>
      <c r="H16" s="46">
        <f t="shared" si="0"/>
        <v>0</v>
      </c>
      <c r="I16" s="35">
        <f t="shared" si="1"/>
        <v>0</v>
      </c>
      <c r="J16" s="33">
        <f t="shared" si="2"/>
        <v>0</v>
      </c>
    </row>
    <row r="17" spans="1:10" ht="15">
      <c r="A17" s="41">
        <v>13</v>
      </c>
      <c r="B17" s="111"/>
      <c r="C17" s="43"/>
      <c r="D17" s="43"/>
      <c r="E17" s="43"/>
      <c r="F17" s="113"/>
      <c r="G17" s="7"/>
      <c r="H17" s="46">
        <f t="shared" si="0"/>
        <v>0</v>
      </c>
      <c r="I17" s="35">
        <f t="shared" si="1"/>
        <v>0</v>
      </c>
      <c r="J17" s="33">
        <f t="shared" si="2"/>
        <v>0</v>
      </c>
    </row>
    <row r="18" spans="1:10" ht="15">
      <c r="A18" s="41">
        <v>14</v>
      </c>
      <c r="B18" s="111"/>
      <c r="C18" s="43"/>
      <c r="D18" s="43"/>
      <c r="E18" s="43"/>
      <c r="F18" s="113"/>
      <c r="G18" s="7"/>
      <c r="H18" s="46">
        <f t="shared" si="0"/>
        <v>0</v>
      </c>
      <c r="I18" s="35">
        <f t="shared" si="1"/>
        <v>0</v>
      </c>
      <c r="J18" s="33">
        <f t="shared" si="2"/>
        <v>0</v>
      </c>
    </row>
    <row r="19" spans="1:10" ht="15">
      <c r="A19" s="41">
        <v>15</v>
      </c>
      <c r="B19" s="111"/>
      <c r="C19" s="43"/>
      <c r="D19" s="43"/>
      <c r="E19" s="43"/>
      <c r="F19" s="113"/>
      <c r="G19" s="7"/>
      <c r="H19" s="46">
        <f t="shared" si="0"/>
        <v>0</v>
      </c>
      <c r="I19" s="35">
        <f t="shared" si="1"/>
        <v>0</v>
      </c>
      <c r="J19" s="33">
        <f t="shared" si="2"/>
        <v>0</v>
      </c>
    </row>
    <row r="20" spans="1:10" ht="15">
      <c r="A20" s="41">
        <v>16</v>
      </c>
      <c r="B20" s="111"/>
      <c r="C20" s="43"/>
      <c r="D20" s="43"/>
      <c r="E20" s="43"/>
      <c r="F20" s="113"/>
      <c r="G20" s="7"/>
      <c r="H20" s="46">
        <f t="shared" si="0"/>
        <v>0</v>
      </c>
      <c r="I20" s="35">
        <f t="shared" si="1"/>
        <v>0</v>
      </c>
      <c r="J20" s="33">
        <f t="shared" si="2"/>
        <v>0</v>
      </c>
    </row>
    <row r="21" spans="1:10" ht="15">
      <c r="A21" s="41">
        <v>17</v>
      </c>
      <c r="B21" s="111"/>
      <c r="C21" s="43"/>
      <c r="D21" s="43"/>
      <c r="E21" s="43"/>
      <c r="F21" s="113"/>
      <c r="G21" s="7"/>
      <c r="H21" s="46">
        <f t="shared" si="0"/>
        <v>0</v>
      </c>
      <c r="I21" s="35">
        <f t="shared" si="1"/>
        <v>0</v>
      </c>
      <c r="J21" s="33">
        <f t="shared" si="2"/>
        <v>0</v>
      </c>
    </row>
    <row r="22" spans="1:10" ht="15">
      <c r="A22" s="41">
        <v>18</v>
      </c>
      <c r="B22" s="111"/>
      <c r="C22" s="43"/>
      <c r="D22" s="43"/>
      <c r="E22" s="43"/>
      <c r="F22" s="113"/>
      <c r="G22" s="7"/>
      <c r="H22" s="46">
        <f t="shared" si="0"/>
        <v>0</v>
      </c>
      <c r="I22" s="35">
        <f t="shared" si="1"/>
        <v>0</v>
      </c>
      <c r="J22" s="33">
        <f t="shared" si="2"/>
        <v>0</v>
      </c>
    </row>
    <row r="23" spans="1:10" ht="15">
      <c r="A23" s="41">
        <v>19</v>
      </c>
      <c r="B23" s="111"/>
      <c r="C23" s="43"/>
      <c r="D23" s="43"/>
      <c r="E23" s="43"/>
      <c r="F23" s="113"/>
      <c r="G23" s="7"/>
      <c r="H23" s="46">
        <f t="shared" si="0"/>
        <v>0</v>
      </c>
      <c r="I23" s="35">
        <f t="shared" si="1"/>
        <v>0</v>
      </c>
      <c r="J23" s="33">
        <f t="shared" si="2"/>
        <v>0</v>
      </c>
    </row>
    <row r="24" spans="1:10" ht="15.75" thickBot="1">
      <c r="A24" s="44">
        <v>20</v>
      </c>
      <c r="B24" s="112"/>
      <c r="C24" s="45"/>
      <c r="D24" s="45"/>
      <c r="E24" s="45"/>
      <c r="F24" s="114"/>
      <c r="G24" s="7"/>
      <c r="H24" s="55">
        <f t="shared" si="0"/>
        <v>0</v>
      </c>
      <c r="I24" s="36">
        <f t="shared" si="1"/>
        <v>0</v>
      </c>
      <c r="J24" s="34">
        <f t="shared" si="2"/>
        <v>0</v>
      </c>
    </row>
    <row r="25" spans="1:10" ht="15.75" hidden="1" thickTop="1">
      <c r="A25" t="s">
        <v>1</v>
      </c>
      <c r="C25" s="3">
        <f>SUM(C5:C24)</f>
        <v>1163</v>
      </c>
      <c r="H25" s="2">
        <f>SUM(H5:H24)</f>
        <v>86.0445759733654</v>
      </c>
      <c r="I25" s="2">
        <f>SUM(I5:I24)</f>
        <v>86.0445759733654</v>
      </c>
      <c r="J25" s="2">
        <f>I25-H25</f>
        <v>0</v>
      </c>
    </row>
    <row r="26" spans="1:10" ht="15.75" thickTop="1">
      <c r="A26" s="87" t="s">
        <v>50</v>
      </c>
      <c r="C26" s="3"/>
      <c r="H26" s="2"/>
      <c r="I26" s="2"/>
      <c r="J26" s="2"/>
    </row>
    <row r="27" spans="1:10" ht="15">
      <c r="A27" s="94" t="s">
        <v>156</v>
      </c>
      <c r="B27" s="143" t="s">
        <v>174</v>
      </c>
      <c r="C27" s="143"/>
      <c r="D27" s="143"/>
      <c r="E27" s="143"/>
      <c r="F27" s="143"/>
      <c r="G27" s="143"/>
      <c r="H27" s="143"/>
      <c r="I27" s="143"/>
      <c r="J27" s="143"/>
    </row>
    <row r="28" spans="1:10" ht="15">
      <c r="A28" s="94" t="s">
        <v>157</v>
      </c>
      <c r="B28" s="143" t="s">
        <v>51</v>
      </c>
      <c r="C28" s="144"/>
      <c r="D28" s="144"/>
      <c r="E28" s="144"/>
      <c r="F28" s="144"/>
      <c r="G28" s="144"/>
      <c r="H28" s="144"/>
      <c r="I28" s="144"/>
      <c r="J28" s="144"/>
    </row>
    <row r="29" spans="1:10" ht="15">
      <c r="A29" s="94" t="s">
        <v>158</v>
      </c>
      <c r="B29" s="143" t="s">
        <v>52</v>
      </c>
      <c r="C29" s="144"/>
      <c r="D29" s="144"/>
      <c r="E29" s="144"/>
      <c r="F29" s="144"/>
      <c r="G29" s="144"/>
      <c r="H29" s="144"/>
      <c r="I29" s="144"/>
      <c r="J29" s="144"/>
    </row>
    <row r="30" spans="1:10" ht="15">
      <c r="A30" s="94" t="s">
        <v>159</v>
      </c>
      <c r="B30" s="143" t="s">
        <v>53</v>
      </c>
      <c r="C30" s="144"/>
      <c r="D30" s="144"/>
      <c r="E30" s="144"/>
      <c r="F30" s="144"/>
      <c r="G30" s="144"/>
      <c r="H30" s="144"/>
      <c r="I30" s="144"/>
      <c r="J30" s="144"/>
    </row>
    <row r="42" ht="15">
      <c r="A42" t="s">
        <v>25</v>
      </c>
    </row>
    <row r="44" spans="2:6" ht="15">
      <c r="B44" s="1" t="s">
        <v>0</v>
      </c>
      <c r="F44" t="s">
        <v>23</v>
      </c>
    </row>
    <row r="45" spans="2:6" ht="15">
      <c r="B45" s="1" t="s">
        <v>22</v>
      </c>
      <c r="F45" t="s">
        <v>24</v>
      </c>
    </row>
  </sheetData>
  <sheetProtection password="DC79" sheet="1" objects="1" scenarios="1"/>
  <mergeCells count="6">
    <mergeCell ref="A1:J1"/>
    <mergeCell ref="B28:J28"/>
    <mergeCell ref="B29:J29"/>
    <mergeCell ref="B30:J30"/>
    <mergeCell ref="B27:J27"/>
    <mergeCell ref="A2:J2"/>
  </mergeCells>
  <dataValidations count="2">
    <dataValidation type="list" allowBlank="1" showInputMessage="1" showErrorMessage="1" sqref="B5:B24">
      <formula1>$B$43:$B$45</formula1>
    </dataValidation>
    <dataValidation type="list" allowBlank="1" showInputMessage="1" showErrorMessage="1" sqref="F5:F24">
      <formula1>$F$43:$F$45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Zeros="0" zoomScalePageLayoutView="0" workbookViewId="0" topLeftCell="A1">
      <selection activeCell="A1" sqref="A1:C1"/>
    </sheetView>
  </sheetViews>
  <sheetFormatPr defaultColWidth="9.140625" defaultRowHeight="15"/>
  <cols>
    <col min="7" max="7" width="3.7109375" style="0" customWidth="1"/>
    <col min="9" max="9" width="10.421875" style="0" customWidth="1"/>
  </cols>
  <sheetData>
    <row r="1" spans="1:3" ht="18.75">
      <c r="A1" s="141" t="s">
        <v>192</v>
      </c>
      <c r="B1" s="142"/>
      <c r="C1" s="136"/>
    </row>
    <row r="2" spans="1:10" s="22" customFormat="1" ht="15.75" thickBot="1">
      <c r="A2" s="145" t="s">
        <v>176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6.5" thickBot="1" thickTop="1">
      <c r="A3" s="10" t="s">
        <v>19</v>
      </c>
      <c r="B3" s="18"/>
      <c r="C3" s="13"/>
      <c r="D3" s="13"/>
      <c r="E3" s="16" t="s">
        <v>20</v>
      </c>
      <c r="F3" s="14"/>
      <c r="H3" s="26" t="s">
        <v>21</v>
      </c>
      <c r="I3" s="27"/>
      <c r="J3" s="28"/>
    </row>
    <row r="4" spans="1:10" ht="30.75" thickBot="1">
      <c r="A4" s="9" t="s">
        <v>26</v>
      </c>
      <c r="B4" s="56" t="s">
        <v>13</v>
      </c>
      <c r="C4" s="39" t="s">
        <v>14</v>
      </c>
      <c r="D4" s="61" t="s">
        <v>16</v>
      </c>
      <c r="E4" s="56" t="s">
        <v>17</v>
      </c>
      <c r="F4" s="40" t="s">
        <v>14</v>
      </c>
      <c r="H4" s="38" t="s">
        <v>220</v>
      </c>
      <c r="I4" s="39" t="s">
        <v>221</v>
      </c>
      <c r="J4" s="40" t="s">
        <v>27</v>
      </c>
    </row>
    <row r="5" spans="1:10" ht="15">
      <c r="A5" s="6">
        <v>1</v>
      </c>
      <c r="B5" s="57">
        <v>400</v>
      </c>
      <c r="C5" s="62">
        <v>0.65</v>
      </c>
      <c r="D5" s="63">
        <v>0.3</v>
      </c>
      <c r="E5" s="57">
        <v>40</v>
      </c>
      <c r="F5" s="66">
        <v>0.65</v>
      </c>
      <c r="H5" s="46">
        <f aca="true" t="shared" si="0" ref="H5:H24">$B5*Win_U+$E5*Door_U</f>
        <v>286</v>
      </c>
      <c r="I5" s="35">
        <f>$B5*$C5+$E5*$F5</f>
        <v>286</v>
      </c>
      <c r="J5" s="33">
        <f aca="true" t="shared" si="1" ref="J5:J12">I5-H5</f>
        <v>0</v>
      </c>
    </row>
    <row r="6" spans="1:10" ht="15">
      <c r="A6" s="6">
        <v>2</v>
      </c>
      <c r="B6" s="57"/>
      <c r="C6" s="62"/>
      <c r="D6" s="63"/>
      <c r="E6" s="57"/>
      <c r="F6" s="67"/>
      <c r="H6" s="46">
        <f t="shared" si="0"/>
        <v>0</v>
      </c>
      <c r="I6" s="35">
        <f aca="true" t="shared" si="2" ref="I6:I24">$B6*$C6+$E6*$F6</f>
        <v>0</v>
      </c>
      <c r="J6" s="33">
        <f t="shared" si="1"/>
        <v>0</v>
      </c>
    </row>
    <row r="7" spans="1:10" ht="15">
      <c r="A7" s="6">
        <v>3</v>
      </c>
      <c r="B7" s="57"/>
      <c r="C7" s="62"/>
      <c r="D7" s="63"/>
      <c r="E7" s="57"/>
      <c r="F7" s="67"/>
      <c r="H7" s="46">
        <f t="shared" si="0"/>
        <v>0</v>
      </c>
      <c r="I7" s="35">
        <f t="shared" si="2"/>
        <v>0</v>
      </c>
      <c r="J7" s="33">
        <f t="shared" si="1"/>
        <v>0</v>
      </c>
    </row>
    <row r="8" spans="1:10" ht="15">
      <c r="A8" s="6">
        <v>4</v>
      </c>
      <c r="B8" s="57"/>
      <c r="C8" s="62"/>
      <c r="D8" s="63"/>
      <c r="E8" s="57"/>
      <c r="F8" s="67"/>
      <c r="H8" s="46">
        <f t="shared" si="0"/>
        <v>0</v>
      </c>
      <c r="I8" s="35">
        <f t="shared" si="2"/>
        <v>0</v>
      </c>
      <c r="J8" s="33">
        <f t="shared" si="1"/>
        <v>0</v>
      </c>
    </row>
    <row r="9" spans="1:10" ht="15">
      <c r="A9" s="6">
        <v>5</v>
      </c>
      <c r="B9" s="57"/>
      <c r="C9" s="62"/>
      <c r="D9" s="63"/>
      <c r="E9" s="57"/>
      <c r="F9" s="67"/>
      <c r="H9" s="46">
        <f t="shared" si="0"/>
        <v>0</v>
      </c>
      <c r="I9" s="35">
        <f t="shared" si="2"/>
        <v>0</v>
      </c>
      <c r="J9" s="33">
        <f t="shared" si="1"/>
        <v>0</v>
      </c>
    </row>
    <row r="10" spans="1:10" ht="15">
      <c r="A10" s="6">
        <v>6</v>
      </c>
      <c r="B10" s="57"/>
      <c r="C10" s="62"/>
      <c r="D10" s="63"/>
      <c r="E10" s="57"/>
      <c r="F10" s="67"/>
      <c r="H10" s="46">
        <f t="shared" si="0"/>
        <v>0</v>
      </c>
      <c r="I10" s="35">
        <f t="shared" si="2"/>
        <v>0</v>
      </c>
      <c r="J10" s="33">
        <f t="shared" si="1"/>
        <v>0</v>
      </c>
    </row>
    <row r="11" spans="1:10" ht="15">
      <c r="A11" s="6">
        <v>7</v>
      </c>
      <c r="B11" s="57"/>
      <c r="C11" s="62"/>
      <c r="D11" s="63"/>
      <c r="E11" s="57"/>
      <c r="F11" s="67"/>
      <c r="H11" s="46">
        <f t="shared" si="0"/>
        <v>0</v>
      </c>
      <c r="I11" s="35">
        <f t="shared" si="2"/>
        <v>0</v>
      </c>
      <c r="J11" s="33">
        <f t="shared" si="1"/>
        <v>0</v>
      </c>
    </row>
    <row r="12" spans="1:10" ht="15">
      <c r="A12" s="6">
        <v>8</v>
      </c>
      <c r="B12" s="57"/>
      <c r="C12" s="62"/>
      <c r="D12" s="63"/>
      <c r="E12" s="57"/>
      <c r="F12" s="67"/>
      <c r="H12" s="46">
        <f t="shared" si="0"/>
        <v>0</v>
      </c>
      <c r="I12" s="35">
        <f t="shared" si="2"/>
        <v>0</v>
      </c>
      <c r="J12" s="33">
        <f t="shared" si="1"/>
        <v>0</v>
      </c>
    </row>
    <row r="13" spans="1:10" ht="15">
      <c r="A13" s="6">
        <v>9</v>
      </c>
      <c r="B13" s="57"/>
      <c r="C13" s="43"/>
      <c r="D13" s="64"/>
      <c r="E13" s="57"/>
      <c r="F13" s="67"/>
      <c r="H13" s="46">
        <f t="shared" si="0"/>
        <v>0</v>
      </c>
      <c r="I13" s="35">
        <f t="shared" si="2"/>
        <v>0</v>
      </c>
      <c r="J13" s="33">
        <f aca="true" t="shared" si="3" ref="J13:J24">I13-H13</f>
        <v>0</v>
      </c>
    </row>
    <row r="14" spans="1:10" ht="15">
      <c r="A14" s="6">
        <v>10</v>
      </c>
      <c r="B14" s="57"/>
      <c r="C14" s="43"/>
      <c r="D14" s="64"/>
      <c r="E14" s="57"/>
      <c r="F14" s="67"/>
      <c r="H14" s="46">
        <f t="shared" si="0"/>
        <v>0</v>
      </c>
      <c r="I14" s="35">
        <f t="shared" si="2"/>
        <v>0</v>
      </c>
      <c r="J14" s="33">
        <f t="shared" si="3"/>
        <v>0</v>
      </c>
    </row>
    <row r="15" spans="1:10" ht="15">
      <c r="A15" s="6">
        <v>11</v>
      </c>
      <c r="B15" s="57"/>
      <c r="C15" s="43"/>
      <c r="D15" s="64"/>
      <c r="E15" s="57"/>
      <c r="F15" s="67"/>
      <c r="H15" s="46">
        <f t="shared" si="0"/>
        <v>0</v>
      </c>
      <c r="I15" s="35">
        <f t="shared" si="2"/>
        <v>0</v>
      </c>
      <c r="J15" s="33">
        <f t="shared" si="3"/>
        <v>0</v>
      </c>
    </row>
    <row r="16" spans="1:10" ht="15">
      <c r="A16" s="6">
        <v>12</v>
      </c>
      <c r="B16" s="57"/>
      <c r="C16" s="43"/>
      <c r="D16" s="64"/>
      <c r="E16" s="57"/>
      <c r="F16" s="67"/>
      <c r="H16" s="46">
        <f t="shared" si="0"/>
        <v>0</v>
      </c>
      <c r="I16" s="35">
        <f t="shared" si="2"/>
        <v>0</v>
      </c>
      <c r="J16" s="33">
        <f t="shared" si="3"/>
        <v>0</v>
      </c>
    </row>
    <row r="17" spans="1:10" ht="15">
      <c r="A17" s="6">
        <v>13</v>
      </c>
      <c r="B17" s="57"/>
      <c r="C17" s="43"/>
      <c r="D17" s="64"/>
      <c r="E17" s="57"/>
      <c r="F17" s="67"/>
      <c r="H17" s="46">
        <f t="shared" si="0"/>
        <v>0</v>
      </c>
      <c r="I17" s="35">
        <f t="shared" si="2"/>
        <v>0</v>
      </c>
      <c r="J17" s="33">
        <f t="shared" si="3"/>
        <v>0</v>
      </c>
    </row>
    <row r="18" spans="1:10" ht="15">
      <c r="A18" s="6">
        <v>14</v>
      </c>
      <c r="B18" s="57"/>
      <c r="C18" s="43"/>
      <c r="D18" s="64"/>
      <c r="E18" s="57"/>
      <c r="F18" s="67"/>
      <c r="H18" s="46">
        <f t="shared" si="0"/>
        <v>0</v>
      </c>
      <c r="I18" s="35">
        <f t="shared" si="2"/>
        <v>0</v>
      </c>
      <c r="J18" s="33">
        <f t="shared" si="3"/>
        <v>0</v>
      </c>
    </row>
    <row r="19" spans="1:10" ht="15">
      <c r="A19" s="6">
        <v>15</v>
      </c>
      <c r="B19" s="57"/>
      <c r="C19" s="43"/>
      <c r="D19" s="64"/>
      <c r="E19" s="57"/>
      <c r="F19" s="67"/>
      <c r="H19" s="46">
        <f t="shared" si="0"/>
        <v>0</v>
      </c>
      <c r="I19" s="35">
        <f t="shared" si="2"/>
        <v>0</v>
      </c>
      <c r="J19" s="33">
        <f t="shared" si="3"/>
        <v>0</v>
      </c>
    </row>
    <row r="20" spans="1:10" ht="15">
      <c r="A20" s="6">
        <v>16</v>
      </c>
      <c r="B20" s="57"/>
      <c r="C20" s="43"/>
      <c r="D20" s="64"/>
      <c r="E20" s="57"/>
      <c r="F20" s="67"/>
      <c r="H20" s="46">
        <f t="shared" si="0"/>
        <v>0</v>
      </c>
      <c r="I20" s="35">
        <f t="shared" si="2"/>
        <v>0</v>
      </c>
      <c r="J20" s="33">
        <f t="shared" si="3"/>
        <v>0</v>
      </c>
    </row>
    <row r="21" spans="1:10" ht="15">
      <c r="A21" s="6">
        <v>17</v>
      </c>
      <c r="B21" s="57"/>
      <c r="C21" s="43"/>
      <c r="D21" s="64"/>
      <c r="E21" s="57"/>
      <c r="F21" s="67"/>
      <c r="H21" s="46">
        <f t="shared" si="0"/>
        <v>0</v>
      </c>
      <c r="I21" s="35">
        <f t="shared" si="2"/>
        <v>0</v>
      </c>
      <c r="J21" s="33">
        <f t="shared" si="3"/>
        <v>0</v>
      </c>
    </row>
    <row r="22" spans="1:10" ht="15">
      <c r="A22" s="6">
        <v>18</v>
      </c>
      <c r="B22" s="57"/>
      <c r="C22" s="43"/>
      <c r="D22" s="64"/>
      <c r="E22" s="57"/>
      <c r="F22" s="67"/>
      <c r="H22" s="46">
        <f t="shared" si="0"/>
        <v>0</v>
      </c>
      <c r="I22" s="35">
        <f t="shared" si="2"/>
        <v>0</v>
      </c>
      <c r="J22" s="33">
        <f t="shared" si="3"/>
        <v>0</v>
      </c>
    </row>
    <row r="23" spans="1:10" ht="15">
      <c r="A23" s="6">
        <v>19</v>
      </c>
      <c r="B23" s="57"/>
      <c r="C23" s="43"/>
      <c r="D23" s="64"/>
      <c r="E23" s="57"/>
      <c r="F23" s="67"/>
      <c r="H23" s="46">
        <f t="shared" si="0"/>
        <v>0</v>
      </c>
      <c r="I23" s="35">
        <f t="shared" si="2"/>
        <v>0</v>
      </c>
      <c r="J23" s="33">
        <f t="shared" si="3"/>
        <v>0</v>
      </c>
    </row>
    <row r="24" spans="1:10" ht="15.75" thickBot="1">
      <c r="A24" s="8">
        <v>20</v>
      </c>
      <c r="B24" s="59"/>
      <c r="C24" s="45"/>
      <c r="D24" s="65"/>
      <c r="E24" s="59"/>
      <c r="F24" s="68"/>
      <c r="H24" s="55">
        <f t="shared" si="0"/>
        <v>0</v>
      </c>
      <c r="I24" s="36">
        <f t="shared" si="2"/>
        <v>0</v>
      </c>
      <c r="J24" s="34">
        <f t="shared" si="3"/>
        <v>0</v>
      </c>
    </row>
    <row r="25" spans="1:10" ht="15.75" hidden="1" thickTop="1">
      <c r="A25" t="s">
        <v>125</v>
      </c>
      <c r="B25" s="3">
        <f>SUM(B5:B24)</f>
        <v>400</v>
      </c>
      <c r="C25" s="29" t="s">
        <v>37</v>
      </c>
      <c r="D25" s="2">
        <f>MAX(D5:D24)</f>
        <v>0.3</v>
      </c>
      <c r="E25" s="3">
        <f>SUM(E5:E24)</f>
        <v>40</v>
      </c>
      <c r="F25" s="2"/>
      <c r="H25" s="2">
        <f>SUM(H5:H24)</f>
        <v>286</v>
      </c>
      <c r="I25" s="2">
        <f>SUM(I5:I24)</f>
        <v>286</v>
      </c>
      <c r="J25" s="2">
        <f>I25-H25</f>
        <v>0</v>
      </c>
    </row>
    <row r="26" spans="1:6" ht="15" hidden="1">
      <c r="A26" t="s">
        <v>206</v>
      </c>
      <c r="B26" s="23">
        <f>B25/CFA</f>
        <v>0.2</v>
      </c>
      <c r="C26" s="29" t="s">
        <v>126</v>
      </c>
      <c r="D26" s="2">
        <f>SUMPRODUCT(B5:B24,D5:D24)/B25</f>
        <v>0.3</v>
      </c>
      <c r="F26" s="2"/>
    </row>
    <row r="27" ht="15.75" thickTop="1"/>
  </sheetData>
  <sheetProtection password="DC79" sheet="1" objects="1" scenarios="1"/>
  <mergeCells count="2">
    <mergeCell ref="A2:J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3" max="3" width="11.8515625" style="0" customWidth="1"/>
    <col min="4" max="4" width="10.8515625" style="0" customWidth="1"/>
    <col min="7" max="7" width="3.7109375" style="0" customWidth="1"/>
    <col min="9" max="9" width="10.421875" style="0" customWidth="1"/>
    <col min="12" max="13" width="0" style="0" hidden="1" customWidth="1"/>
  </cols>
  <sheetData>
    <row r="1" spans="1:10" ht="19.5" thickBot="1">
      <c r="A1" s="141" t="s">
        <v>178</v>
      </c>
      <c r="B1" s="142"/>
      <c r="C1" s="142"/>
      <c r="D1" s="142"/>
      <c r="E1" s="142"/>
      <c r="F1" s="142"/>
      <c r="G1" s="136"/>
      <c r="H1" s="136"/>
      <c r="I1" s="136"/>
      <c r="J1" s="136"/>
    </row>
    <row r="2" spans="1:10" ht="16.5" thickBot="1" thickTop="1">
      <c r="A2" s="10" t="s">
        <v>179</v>
      </c>
      <c r="B2" s="12"/>
      <c r="C2" s="18"/>
      <c r="D2" s="13"/>
      <c r="E2" s="77"/>
      <c r="F2" s="5"/>
      <c r="H2" s="10" t="s">
        <v>21</v>
      </c>
      <c r="I2" s="4"/>
      <c r="J2" s="5"/>
    </row>
    <row r="3" spans="1:13" ht="30.75" thickBot="1">
      <c r="A3" s="9" t="s">
        <v>26</v>
      </c>
      <c r="B3" s="56" t="s">
        <v>154</v>
      </c>
      <c r="C3" s="74" t="s">
        <v>167</v>
      </c>
      <c r="D3" s="80" t="s">
        <v>155</v>
      </c>
      <c r="E3" s="80" t="s">
        <v>161</v>
      </c>
      <c r="F3" s="40" t="s">
        <v>162</v>
      </c>
      <c r="H3" s="38" t="s">
        <v>220</v>
      </c>
      <c r="I3" s="39" t="s">
        <v>221</v>
      </c>
      <c r="J3" s="40" t="s">
        <v>27</v>
      </c>
      <c r="L3" s="79" t="s">
        <v>211</v>
      </c>
      <c r="M3" s="79" t="s">
        <v>212</v>
      </c>
    </row>
    <row r="4" spans="1:13" ht="15">
      <c r="A4" s="6">
        <v>1</v>
      </c>
      <c r="B4" s="116" t="s">
        <v>152</v>
      </c>
      <c r="C4" s="75">
        <v>2000</v>
      </c>
      <c r="D4" s="81">
        <v>30</v>
      </c>
      <c r="E4" s="85"/>
      <c r="F4" s="67"/>
      <c r="H4" s="52">
        <f aca="true" t="shared" si="0" ref="H4:H13">$C4*(1/(FF_Ceil*ceil_stud+(1-FF_Ceil)*Ceil_R+Attic_add))</f>
        <v>64.09999599375026</v>
      </c>
      <c r="I4" s="53">
        <f aca="true" t="shared" si="1" ref="I4:I13">IF(B4="Vented",$C4*(1/(FF_Ceil*ceil_stud+(1-FF_Ceil)*$D4+Attic_add)),IF(B4="Sealed",((((CFA/NS)^0.5)/(12/((12^2+$F4^2)^0.5)))*(CFA/NS)^0.5)*(1/(FF_Ceil*ceil_stud+(1-FF_Ceil)*$E4+Attic_add)),0))</f>
        <v>64.09999599375026</v>
      </c>
      <c r="J4" s="54">
        <f>I4-H4</f>
        <v>0</v>
      </c>
      <c r="L4" s="115">
        <v>2</v>
      </c>
      <c r="M4" s="3">
        <f>((((CFA/NS)^0.5)/(12/((12^2+$L4^2)^0.5)))*(CFA/NS)^0.5)</f>
        <v>2027.5875100994067</v>
      </c>
    </row>
    <row r="5" spans="1:11" ht="15">
      <c r="A5" s="6">
        <v>2</v>
      </c>
      <c r="B5" s="109"/>
      <c r="C5" s="75"/>
      <c r="D5" s="81"/>
      <c r="E5" s="85"/>
      <c r="F5" s="67"/>
      <c r="H5" s="46">
        <f t="shared" si="0"/>
        <v>0</v>
      </c>
      <c r="I5" s="35">
        <f t="shared" si="1"/>
        <v>0</v>
      </c>
      <c r="J5" s="33">
        <f aca="true" t="shared" si="2" ref="J5:J13">I5-H5</f>
        <v>0</v>
      </c>
      <c r="K5" s="103"/>
    </row>
    <row r="6" spans="1:10" ht="15">
      <c r="A6" s="6">
        <v>3</v>
      </c>
      <c r="B6" s="109"/>
      <c r="C6" s="75"/>
      <c r="D6" s="81"/>
      <c r="E6" s="85"/>
      <c r="F6" s="67"/>
      <c r="H6" s="46">
        <f t="shared" si="0"/>
        <v>0</v>
      </c>
      <c r="I6" s="35">
        <f t="shared" si="1"/>
        <v>0</v>
      </c>
      <c r="J6" s="33">
        <f t="shared" si="2"/>
        <v>0</v>
      </c>
    </row>
    <row r="7" spans="1:10" ht="15">
      <c r="A7" s="6">
        <v>4</v>
      </c>
      <c r="B7" s="109"/>
      <c r="C7" s="75"/>
      <c r="D7" s="81"/>
      <c r="E7" s="85"/>
      <c r="F7" s="67"/>
      <c r="H7" s="46">
        <f t="shared" si="0"/>
        <v>0</v>
      </c>
      <c r="I7" s="35">
        <f t="shared" si="1"/>
        <v>0</v>
      </c>
      <c r="J7" s="33">
        <f t="shared" si="2"/>
        <v>0</v>
      </c>
    </row>
    <row r="8" spans="1:10" ht="15">
      <c r="A8" s="6">
        <v>5</v>
      </c>
      <c r="B8" s="109"/>
      <c r="C8" s="75"/>
      <c r="D8" s="81"/>
      <c r="E8" s="85"/>
      <c r="F8" s="67"/>
      <c r="H8" s="46">
        <f t="shared" si="0"/>
        <v>0</v>
      </c>
      <c r="I8" s="35">
        <f t="shared" si="1"/>
        <v>0</v>
      </c>
      <c r="J8" s="33">
        <f t="shared" si="2"/>
        <v>0</v>
      </c>
    </row>
    <row r="9" spans="1:10" ht="15">
      <c r="A9" s="6">
        <v>6</v>
      </c>
      <c r="B9" s="109"/>
      <c r="C9" s="75"/>
      <c r="D9" s="81"/>
      <c r="E9" s="85"/>
      <c r="F9" s="67"/>
      <c r="H9" s="46">
        <f t="shared" si="0"/>
        <v>0</v>
      </c>
      <c r="I9" s="35">
        <f t="shared" si="1"/>
        <v>0</v>
      </c>
      <c r="J9" s="33">
        <f t="shared" si="2"/>
        <v>0</v>
      </c>
    </row>
    <row r="10" spans="1:10" ht="15">
      <c r="A10" s="6">
        <v>7</v>
      </c>
      <c r="B10" s="109"/>
      <c r="C10" s="75"/>
      <c r="D10" s="81"/>
      <c r="E10" s="85"/>
      <c r="F10" s="67"/>
      <c r="H10" s="46">
        <f t="shared" si="0"/>
        <v>0</v>
      </c>
      <c r="I10" s="35">
        <f t="shared" si="1"/>
        <v>0</v>
      </c>
      <c r="J10" s="33">
        <f t="shared" si="2"/>
        <v>0</v>
      </c>
    </row>
    <row r="11" spans="1:10" ht="15">
      <c r="A11" s="6">
        <v>8</v>
      </c>
      <c r="B11" s="109"/>
      <c r="C11" s="75"/>
      <c r="D11" s="81"/>
      <c r="E11" s="85"/>
      <c r="F11" s="67"/>
      <c r="H11" s="46">
        <f t="shared" si="0"/>
        <v>0</v>
      </c>
      <c r="I11" s="35">
        <f t="shared" si="1"/>
        <v>0</v>
      </c>
      <c r="J11" s="33">
        <f t="shared" si="2"/>
        <v>0</v>
      </c>
    </row>
    <row r="12" spans="1:10" ht="15">
      <c r="A12" s="6">
        <v>9</v>
      </c>
      <c r="B12" s="109"/>
      <c r="C12" s="75"/>
      <c r="D12" s="81"/>
      <c r="E12" s="85"/>
      <c r="F12" s="67"/>
      <c r="H12" s="46">
        <f t="shared" si="0"/>
        <v>0</v>
      </c>
      <c r="I12" s="35">
        <f t="shared" si="1"/>
        <v>0</v>
      </c>
      <c r="J12" s="33">
        <f t="shared" si="2"/>
        <v>0</v>
      </c>
    </row>
    <row r="13" spans="1:10" ht="15.75" thickBot="1">
      <c r="A13" s="8">
        <v>10</v>
      </c>
      <c r="B13" s="110"/>
      <c r="C13" s="76"/>
      <c r="D13" s="82"/>
      <c r="E13" s="86"/>
      <c r="F13" s="68"/>
      <c r="H13" s="55">
        <f t="shared" si="0"/>
        <v>0</v>
      </c>
      <c r="I13" s="36">
        <f t="shared" si="1"/>
        <v>0</v>
      </c>
      <c r="J13" s="34">
        <f t="shared" si="2"/>
        <v>0</v>
      </c>
    </row>
    <row r="14" spans="1:10" ht="15.75" hidden="1" thickTop="1">
      <c r="A14" t="s">
        <v>36</v>
      </c>
      <c r="C14" s="3">
        <f>SUM(C4:C13)</f>
        <v>2000</v>
      </c>
      <c r="D14" s="19"/>
      <c r="H14" s="2">
        <f>SUM(H4:H13)</f>
        <v>64.09999599375026</v>
      </c>
      <c r="I14" s="2">
        <f>SUM(I4:I13)</f>
        <v>64.09999599375026</v>
      </c>
      <c r="J14" s="2">
        <f>SUM(J4:J13)</f>
        <v>0</v>
      </c>
    </row>
    <row r="15" ht="15.75" thickTop="1">
      <c r="A15" s="87" t="s">
        <v>50</v>
      </c>
    </row>
    <row r="16" spans="1:10" ht="15">
      <c r="A16" s="95" t="s">
        <v>156</v>
      </c>
      <c r="B16" s="147" t="s">
        <v>168</v>
      </c>
      <c r="C16" s="147"/>
      <c r="D16" s="147"/>
      <c r="E16" s="147"/>
      <c r="F16" s="147"/>
      <c r="G16" s="147"/>
      <c r="H16" s="147"/>
      <c r="I16" s="147"/>
      <c r="J16" s="147"/>
    </row>
    <row r="17" spans="1:10" ht="15">
      <c r="A17" s="95" t="s">
        <v>157</v>
      </c>
      <c r="B17" s="147" t="s">
        <v>160</v>
      </c>
      <c r="C17" s="147"/>
      <c r="D17" s="147"/>
      <c r="E17" s="147"/>
      <c r="F17" s="147"/>
      <c r="G17" s="147"/>
      <c r="H17" s="147"/>
      <c r="I17" s="147"/>
      <c r="J17" s="147"/>
    </row>
    <row r="18" spans="1:10" ht="15" customHeight="1">
      <c r="A18" s="95" t="s">
        <v>158</v>
      </c>
      <c r="B18" s="147" t="s">
        <v>163</v>
      </c>
      <c r="C18" s="147"/>
      <c r="D18" s="147"/>
      <c r="E18" s="147"/>
      <c r="F18" s="147"/>
      <c r="G18" s="147"/>
      <c r="H18" s="147"/>
      <c r="I18" s="147"/>
      <c r="J18" s="147"/>
    </row>
    <row r="19" spans="1:10" ht="15">
      <c r="A19" s="95" t="s">
        <v>159</v>
      </c>
      <c r="B19" s="147" t="s">
        <v>164</v>
      </c>
      <c r="C19" s="147"/>
      <c r="D19" s="147"/>
      <c r="E19" s="147"/>
      <c r="F19" s="147"/>
      <c r="G19" s="147"/>
      <c r="H19" s="147"/>
      <c r="I19" s="147"/>
      <c r="J19" s="147"/>
    </row>
    <row r="20" spans="1:10" ht="15">
      <c r="A20" s="95" t="s">
        <v>165</v>
      </c>
      <c r="B20" s="146" t="s">
        <v>166</v>
      </c>
      <c r="C20" s="146"/>
      <c r="D20" s="146"/>
      <c r="E20" s="146"/>
      <c r="F20" s="146"/>
      <c r="G20" s="146"/>
      <c r="H20" s="146"/>
      <c r="I20" s="146"/>
      <c r="J20" s="146"/>
    </row>
    <row r="30" ht="15">
      <c r="B30" t="s">
        <v>58</v>
      </c>
    </row>
    <row r="32" ht="15">
      <c r="B32" t="s">
        <v>152</v>
      </c>
    </row>
    <row r="33" ht="15">
      <c r="B33" t="s">
        <v>153</v>
      </c>
    </row>
  </sheetData>
  <sheetProtection password="DC79" sheet="1" objects="1" scenarios="1"/>
  <mergeCells count="6">
    <mergeCell ref="B20:J20"/>
    <mergeCell ref="A1:J1"/>
    <mergeCell ref="B16:J16"/>
    <mergeCell ref="B17:J17"/>
    <mergeCell ref="B18:J18"/>
    <mergeCell ref="B19:J19"/>
  </mergeCells>
  <dataValidations count="1">
    <dataValidation type="list" allowBlank="1" showInputMessage="1" showErrorMessage="1" sqref="B4:B13">
      <formula1>$B$31:$B$33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0.7109375" style="0" customWidth="1"/>
    <col min="2" max="2" width="21.28125" style="0" customWidth="1"/>
    <col min="3" max="3" width="2.8515625" style="0" customWidth="1"/>
  </cols>
  <sheetData>
    <row r="1" spans="1:2" ht="18.75">
      <c r="A1" s="135" t="s">
        <v>88</v>
      </c>
      <c r="B1" s="136"/>
    </row>
    <row r="2" s="22" customFormat="1" ht="15" customHeight="1"/>
    <row r="3" spans="1:4" ht="15" customHeight="1">
      <c r="A3" s="48" t="s">
        <v>97</v>
      </c>
      <c r="B3" s="22"/>
      <c r="D3" s="91" t="s">
        <v>69</v>
      </c>
    </row>
    <row r="4" spans="1:4" ht="15" customHeight="1">
      <c r="A4" s="29" t="s">
        <v>15</v>
      </c>
      <c r="B4" s="51" t="s">
        <v>92</v>
      </c>
      <c r="D4" s="92" t="s">
        <v>94</v>
      </c>
    </row>
    <row r="5" spans="1:4" ht="15" customHeight="1">
      <c r="A5" s="29" t="s">
        <v>89</v>
      </c>
      <c r="B5" s="51">
        <v>13</v>
      </c>
      <c r="D5" s="92" t="s">
        <v>95</v>
      </c>
    </row>
    <row r="6" spans="1:4" ht="15" customHeight="1">
      <c r="A6" s="29"/>
      <c r="B6" s="50"/>
      <c r="D6" s="92"/>
    </row>
    <row r="7" spans="1:4" ht="15" customHeight="1">
      <c r="A7" s="48" t="s">
        <v>98</v>
      </c>
      <c r="B7" s="22"/>
      <c r="D7" s="92"/>
    </row>
    <row r="8" spans="1:4" ht="15" customHeight="1">
      <c r="A8" s="29" t="s">
        <v>15</v>
      </c>
      <c r="B8" s="51" t="s">
        <v>92</v>
      </c>
      <c r="D8" s="92" t="s">
        <v>94</v>
      </c>
    </row>
    <row r="9" spans="1:16" ht="15" customHeight="1">
      <c r="A9" s="29" t="s">
        <v>90</v>
      </c>
      <c r="B9" s="51">
        <v>7.7</v>
      </c>
      <c r="D9" s="92" t="s">
        <v>202</v>
      </c>
      <c r="P9" s="105" t="str">
        <f>IF(B9="",IF(B10="","none",IF(B10="","elec","gas")),IF(B9&gt;0,IF(B10&gt;0,"both","elec")))</f>
        <v>elec</v>
      </c>
    </row>
    <row r="10" spans="1:16" ht="15" customHeight="1">
      <c r="A10" s="29" t="s">
        <v>91</v>
      </c>
      <c r="B10" s="99"/>
      <c r="D10" s="92" t="s">
        <v>201</v>
      </c>
      <c r="P10" s="105" t="str">
        <f>IF(B10="",IF(B9="","none",IF(B9="","gas","elec")),IF(B10&gt;0,IF(B9&gt;0,"both","gas")))</f>
        <v>elec</v>
      </c>
    </row>
    <row r="11" spans="1:4" ht="15" customHeight="1">
      <c r="A11" s="29"/>
      <c r="B11" s="50"/>
      <c r="D11" s="92"/>
    </row>
    <row r="12" spans="1:4" ht="15">
      <c r="A12" s="48" t="s">
        <v>99</v>
      </c>
      <c r="D12" s="92"/>
    </row>
    <row r="13" spans="1:4" ht="15">
      <c r="A13" s="29" t="s">
        <v>59</v>
      </c>
      <c r="B13" s="37" t="s">
        <v>63</v>
      </c>
      <c r="C13" s="29"/>
      <c r="D13" s="93" t="s">
        <v>75</v>
      </c>
    </row>
    <row r="14" spans="1:4" ht="15">
      <c r="A14" s="29" t="s">
        <v>60</v>
      </c>
      <c r="B14" s="37" t="s">
        <v>63</v>
      </c>
      <c r="C14" s="29"/>
      <c r="D14" s="93" t="s">
        <v>75</v>
      </c>
    </row>
    <row r="15" spans="1:4" ht="15">
      <c r="A15" s="29" t="s">
        <v>79</v>
      </c>
      <c r="B15" s="37">
        <v>6</v>
      </c>
      <c r="C15" s="29"/>
      <c r="D15" s="93" t="s">
        <v>77</v>
      </c>
    </row>
    <row r="16" spans="1:4" ht="15">
      <c r="A16" s="29" t="s">
        <v>78</v>
      </c>
      <c r="B16" s="37">
        <v>6</v>
      </c>
      <c r="C16" s="29"/>
      <c r="D16" s="93" t="s">
        <v>77</v>
      </c>
    </row>
    <row r="17" spans="1:4" ht="15">
      <c r="A17" s="29" t="s">
        <v>68</v>
      </c>
      <c r="B17" s="37" t="s">
        <v>63</v>
      </c>
      <c r="C17" s="29"/>
      <c r="D17" s="93" t="s">
        <v>76</v>
      </c>
    </row>
    <row r="18" spans="1:4" ht="15">
      <c r="A18" s="29" t="s">
        <v>64</v>
      </c>
      <c r="B18" s="37" t="s">
        <v>66</v>
      </c>
      <c r="C18" s="24"/>
      <c r="D18" s="93" t="s">
        <v>75</v>
      </c>
    </row>
    <row r="19" spans="2:4" ht="15">
      <c r="B19" s="29"/>
      <c r="D19" s="92"/>
    </row>
    <row r="20" spans="1:4" ht="15">
      <c r="A20" s="49" t="s">
        <v>96</v>
      </c>
      <c r="B20" s="29"/>
      <c r="D20" s="92"/>
    </row>
    <row r="21" spans="1:4" ht="15">
      <c r="A21" s="29" t="s">
        <v>15</v>
      </c>
      <c r="B21" s="37" t="s">
        <v>115</v>
      </c>
      <c r="D21" s="93" t="s">
        <v>75</v>
      </c>
    </row>
    <row r="22" spans="1:4" ht="15">
      <c r="A22" s="29" t="s">
        <v>100</v>
      </c>
      <c r="B22" s="37">
        <v>52</v>
      </c>
      <c r="D22" s="93" t="s">
        <v>101</v>
      </c>
    </row>
    <row r="23" spans="1:16" ht="15">
      <c r="A23" s="29" t="s">
        <v>102</v>
      </c>
      <c r="B23" s="73">
        <v>0.9</v>
      </c>
      <c r="D23" s="93" t="s">
        <v>106</v>
      </c>
      <c r="P23" s="104" t="str">
        <f>IF(B23&gt;=(ROUND(IF(B21="Electric",(0.97-(0.00132*B22)),IF(B21="Natural gas",(0.67-(0.0019*B22)))),2)),"PASS","FAIL")</f>
        <v>PASS</v>
      </c>
    </row>
    <row r="24" ht="15">
      <c r="A24" s="29"/>
    </row>
    <row r="46" spans="2:9" ht="15">
      <c r="B46" t="s">
        <v>72</v>
      </c>
      <c r="D46" t="s">
        <v>73</v>
      </c>
      <c r="E46" t="s">
        <v>65</v>
      </c>
      <c r="G46" t="s">
        <v>58</v>
      </c>
      <c r="H46" t="s">
        <v>103</v>
      </c>
      <c r="I46" t="s">
        <v>114</v>
      </c>
    </row>
    <row r="48" spans="2:9" ht="15">
      <c r="B48" t="s">
        <v>71</v>
      </c>
      <c r="D48" t="s">
        <v>74</v>
      </c>
      <c r="E48" t="s">
        <v>66</v>
      </c>
      <c r="G48" t="s">
        <v>92</v>
      </c>
      <c r="H48" t="s">
        <v>104</v>
      </c>
      <c r="I48" t="s">
        <v>115</v>
      </c>
    </row>
    <row r="49" spans="2:9" ht="15">
      <c r="B49" t="s">
        <v>61</v>
      </c>
      <c r="D49" t="s">
        <v>61</v>
      </c>
      <c r="E49" t="s">
        <v>67</v>
      </c>
      <c r="G49" t="s">
        <v>93</v>
      </c>
      <c r="H49" t="s">
        <v>105</v>
      </c>
      <c r="I49" t="s">
        <v>116</v>
      </c>
    </row>
    <row r="50" spans="2:5" ht="15">
      <c r="B50" t="s">
        <v>62</v>
      </c>
      <c r="D50" t="s">
        <v>62</v>
      </c>
      <c r="E50" t="s">
        <v>207</v>
      </c>
    </row>
    <row r="51" spans="2:4" ht="15">
      <c r="B51" t="s">
        <v>42</v>
      </c>
      <c r="D51" t="s">
        <v>42</v>
      </c>
    </row>
    <row r="52" spans="2:4" ht="15">
      <c r="B52" t="s">
        <v>63</v>
      </c>
      <c r="D52" t="s">
        <v>63</v>
      </c>
    </row>
  </sheetData>
  <sheetProtection password="DC79" sheet="1" objects="1" scenarios="1"/>
  <mergeCells count="1">
    <mergeCell ref="A1:B1"/>
  </mergeCells>
  <dataValidations count="5">
    <dataValidation type="list" allowBlank="1" showInputMessage="1" showErrorMessage="1" sqref="B18">
      <formula1>$E$47:$E$50</formula1>
    </dataValidation>
    <dataValidation type="list" allowBlank="1" showInputMessage="1" showErrorMessage="1" sqref="B13:B14">
      <formula1>$B$47:$B$52</formula1>
    </dataValidation>
    <dataValidation type="list" allowBlank="1" showInputMessage="1" showErrorMessage="1" sqref="B17">
      <formula1>$D$47:$D$52</formula1>
    </dataValidation>
    <dataValidation type="list" allowBlank="1" showInputMessage="1" showErrorMessage="1" sqref="B21">
      <formula1>$I$47:$I$49</formula1>
    </dataValidation>
    <dataValidation type="list" allowBlank="1" showInputMessage="1" showErrorMessage="1" sqref="B4 B8">
      <formula1>$G$47:$G$49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8.8515625" style="0" customWidth="1"/>
    <col min="2" max="3" width="10.7109375" style="0" customWidth="1"/>
    <col min="4" max="4" width="2.8515625" style="0" customWidth="1"/>
    <col min="5" max="5" width="9.140625" style="102" customWidth="1"/>
    <col min="6" max="6" width="9.140625" style="100" customWidth="1"/>
  </cols>
  <sheetData>
    <row r="1" spans="1:3" ht="18.75">
      <c r="A1" s="135" t="s">
        <v>198</v>
      </c>
      <c r="B1" s="135"/>
      <c r="C1" s="136"/>
    </row>
    <row r="2" spans="1:6" s="22" customFormat="1" ht="15.75" thickBot="1">
      <c r="A2" s="98" t="s">
        <v>197</v>
      </c>
      <c r="B2" s="122"/>
      <c r="E2" s="102"/>
      <c r="F2" s="100"/>
    </row>
    <row r="3" spans="1:4" ht="30" customHeight="1" thickBot="1" thickTop="1">
      <c r="A3" s="32" t="s">
        <v>43</v>
      </c>
      <c r="B3" s="131" t="s">
        <v>220</v>
      </c>
      <c r="C3" s="127" t="s">
        <v>222</v>
      </c>
      <c r="D3" s="125"/>
    </row>
    <row r="4" spans="1:4" ht="15">
      <c r="A4" s="30" t="s">
        <v>12</v>
      </c>
      <c r="B4" s="132">
        <f>Walls!H25</f>
        <v>86.0445759733654</v>
      </c>
      <c r="C4" s="128">
        <f>Walls!I25</f>
        <v>86.0445759733654</v>
      </c>
      <c r="D4" s="126"/>
    </row>
    <row r="5" spans="1:4" ht="15">
      <c r="A5" s="30" t="s">
        <v>215</v>
      </c>
      <c r="B5" s="132">
        <f>'Windows-Doors'!H25</f>
        <v>286</v>
      </c>
      <c r="C5" s="128">
        <f>'Windows-Doors'!I25</f>
        <v>286</v>
      </c>
      <c r="D5" s="126"/>
    </row>
    <row r="6" spans="1:4" ht="15">
      <c r="A6" s="30" t="s">
        <v>38</v>
      </c>
      <c r="B6" s="132">
        <f>Ceilings!H14</f>
        <v>64.09999599375026</v>
      </c>
      <c r="C6" s="128">
        <f>Ceilings!I14</f>
        <v>64.09999599375026</v>
      </c>
      <c r="D6" s="126"/>
    </row>
    <row r="7" spans="1:4" ht="15.75" thickBot="1">
      <c r="A7" s="31" t="s">
        <v>40</v>
      </c>
      <c r="B7" s="133">
        <f>Floors!F14</f>
        <v>0</v>
      </c>
      <c r="C7" s="129">
        <f>Floors!G14</f>
        <v>0</v>
      </c>
      <c r="D7" s="126"/>
    </row>
    <row r="8" spans="1:3" ht="15" customHeight="1" thickBot="1" thickTop="1">
      <c r="A8" s="96" t="s">
        <v>196</v>
      </c>
      <c r="B8" s="97">
        <f>SUM(B4:B7)</f>
        <v>436.14457196711567</v>
      </c>
      <c r="C8" s="130">
        <f>SUM(C4:C7)</f>
        <v>436.14457196711567</v>
      </c>
    </row>
    <row r="9" spans="1:5" s="22" customFormat="1" ht="15" customHeight="1" thickTop="1">
      <c r="A9" s="123" t="s">
        <v>196</v>
      </c>
      <c r="B9" s="123"/>
      <c r="C9" s="107" t="str">
        <f>IF(B8&gt;=C8,"PASS","FAIL")</f>
        <v>PASS</v>
      </c>
      <c r="E9" s="101">
        <f>IF(C9="FAIL","Overall 'Submitted UA' must be less than or equal to Overall 'Allowed UA'","")</f>
      </c>
    </row>
    <row r="10" spans="1:5" s="22" customFormat="1" ht="15" customHeight="1">
      <c r="A10" s="124" t="s">
        <v>182</v>
      </c>
      <c r="B10" s="124"/>
      <c r="C10" s="107" t="str">
        <f>IF('Windows-Doors'!B26&gt;20%,"FAIL","PASS")</f>
        <v>PASS</v>
      </c>
      <c r="E10" s="101">
        <f>IF(C10="FAIL","Window area must be less than or equal 20% of floor area","")</f>
      </c>
    </row>
    <row r="11" spans="1:5" s="22" customFormat="1" ht="15" customHeight="1">
      <c r="A11" s="124" t="s">
        <v>44</v>
      </c>
      <c r="B11" s="124"/>
      <c r="C11" s="107" t="str">
        <f>IF('Windows-Doors'!D25&gt;0.3,"FAIL","PASS")</f>
        <v>PASS</v>
      </c>
      <c r="E11" s="101">
        <f>IF(C11="FAIL","Maximum Windows SHGC must be less than or equal to 0.30","")</f>
      </c>
    </row>
    <row r="12" spans="1:5" s="22" customFormat="1" ht="15" customHeight="1">
      <c r="A12" s="121" t="s">
        <v>189</v>
      </c>
      <c r="B12" s="121"/>
      <c r="C12" s="107" t="str">
        <f>IF(Project!B13&lt;0.25,"FAIL",IF(Project!B13&gt;0.85,"WARN","PASS"))</f>
        <v>PASS</v>
      </c>
      <c r="E12" s="101">
        <f>IF(C12="FAIL","Roof reflectance must be equal to or greater than 0.25",IF(C12="WARN","Roof reflectance is very high - please check",""))</f>
      </c>
    </row>
    <row r="13" spans="1:5" s="22" customFormat="1" ht="15" customHeight="1">
      <c r="A13" s="121" t="s">
        <v>183</v>
      </c>
      <c r="B13" s="121"/>
      <c r="C13" s="107" t="str">
        <f>IF(Walls!C25&gt;vals_checks!I3,IF(Walls!C25&lt;vals_checks!I4,"PASS","WARN"),"WARN")</f>
        <v>PASS</v>
      </c>
      <c r="E13" s="101">
        <f>IF(C13="WARN",IF((Walls!C25-'Windows-Doors'!B25-'Windows-Doors'!E25)&lt;vals_checks!I3,"Wall area appears small - please check","Wall area appears large - please check"),"")</f>
      </c>
    </row>
    <row r="14" spans="1:5" s="22" customFormat="1" ht="15" customHeight="1">
      <c r="A14" s="121" t="s">
        <v>184</v>
      </c>
      <c r="B14" s="121"/>
      <c r="C14" s="107" t="str">
        <f>IF(Ceilings!C14&gt;vals_checks!I7,IF(Ceilings!C14&lt;vals_checks!I9,"PASS","WARN"),"WARN")</f>
        <v>PASS</v>
      </c>
      <c r="E14" s="101">
        <f>IF(C14="WARN",IF(Ceilings!C14&lt;vals_checks!I7,"Ceiling area appears small - please check","Ceiling area appears large - please check"),"")</f>
      </c>
    </row>
    <row r="15" spans="1:5" s="22" customFormat="1" ht="15" customHeight="1">
      <c r="A15" s="121" t="s">
        <v>185</v>
      </c>
      <c r="B15" s="121"/>
      <c r="C15" s="107" t="str">
        <f>IF(Floors!C14&gt;vals_checks!I12,IF(Floors!C14&lt;vals_checks!I13,"PASS","WARN"),"WARN")</f>
        <v>PASS</v>
      </c>
      <c r="E15" s="101">
        <f>IF(C15="WARN",IF(Floors!C14&lt;vals_checks!I12,"Floor area appears small - please check","Floor area appears large - please check"),"")</f>
      </c>
    </row>
    <row r="16" spans="1:5" s="22" customFormat="1" ht="15" customHeight="1">
      <c r="A16" s="121" t="s">
        <v>193</v>
      </c>
      <c r="B16" s="121"/>
      <c r="C16" s="107" t="str">
        <f>IF(Systems!B5="","INC",IF(Systems!B5&lt;13,"FAIL","PASS"))</f>
        <v>PASS</v>
      </c>
      <c r="E16" s="101">
        <f>IF(C16="FAIL","SEER for electric air conditioning systems must be equal to or greater than 13","")</f>
      </c>
    </row>
    <row r="17" spans="1:5" s="22" customFormat="1" ht="15" customHeight="1">
      <c r="A17" s="106" t="s">
        <v>199</v>
      </c>
      <c r="B17" s="121"/>
      <c r="C17" s="107"/>
      <c r="E17" s="101"/>
    </row>
    <row r="18" spans="1:5" s="22" customFormat="1" ht="15" customHeight="1">
      <c r="A18" s="120" t="s">
        <v>115</v>
      </c>
      <c r="B18" s="120"/>
      <c r="C18" s="107" t="str">
        <f>IF(Systems!P9="none","INC",IF(Systems!P9="gas","N/A",IF(Systems!B9&lt;7.7,"FAIL","PASS")))</f>
        <v>PASS</v>
      </c>
      <c r="E18" s="101">
        <f>IF(C18="FAIL","HSPF for electric heating systems must be equal to or greater than 7.7","")</f>
      </c>
    </row>
    <row r="19" spans="1:5" s="22" customFormat="1" ht="15" customHeight="1">
      <c r="A19" s="120" t="s">
        <v>200</v>
      </c>
      <c r="B19" s="120"/>
      <c r="C19" s="107" t="str">
        <f>IF(Systems!P10="none","INC",IF(Systems!P9="elec","N/A",IF(Systems!B10&lt;0.78,"FAIL","PASS")))</f>
        <v>N/A</v>
      </c>
      <c r="E19" s="101">
        <f>IF(C19="FAIL","AFUE for natural gas furnaces must be equal to or greater than 78%","")</f>
      </c>
    </row>
    <row r="20" spans="1:5" s="22" customFormat="1" ht="15" customHeight="1">
      <c r="A20" s="106" t="s">
        <v>195</v>
      </c>
      <c r="B20" s="121"/>
      <c r="C20" s="107"/>
      <c r="E20" s="100"/>
    </row>
    <row r="21" spans="1:5" s="22" customFormat="1" ht="15" customHeight="1">
      <c r="A21" s="120" t="s">
        <v>203</v>
      </c>
      <c r="B21" s="120"/>
      <c r="C21" s="107" t="str">
        <f>IF(Systems!B13="Conditioned space",IF(Systems!B14="Conditioned space",IF(Systems!B17="Conditioned space","PASS","FAIL"),"FAIL"),"FAIL")</f>
        <v>PASS</v>
      </c>
      <c r="E21" s="101">
        <f>IF(C21="FAIL","All ducts and Air Handler Unit must be located in conditioned space","")</f>
      </c>
    </row>
    <row r="22" spans="1:5" s="22" customFormat="1" ht="15" customHeight="1">
      <c r="A22" s="120" t="s">
        <v>204</v>
      </c>
      <c r="B22" s="120"/>
      <c r="C22" s="107" t="str">
        <f>IF(Systems!B15&gt;=6,IF(Systems!B16&gt;=6,"PASS","FAIL"),"FAIL")</f>
        <v>PASS</v>
      </c>
      <c r="E22" s="101">
        <f>IF(C22="FAIL","All ducts must have minimum R-6 insulation","")</f>
      </c>
    </row>
    <row r="23" spans="1:5" s="22" customFormat="1" ht="15" customHeight="1">
      <c r="A23" s="120" t="s">
        <v>205</v>
      </c>
      <c r="B23" s="120"/>
      <c r="C23" s="107" t="str">
        <f>IF(Systems!B18="","INC",IF(Systems!B18="Other","FAIL","PASS"))</f>
        <v>PASS</v>
      </c>
      <c r="E23" s="101">
        <f>IF(C23="FAIL","Air Distribution System must be Tested Leak Free or Ductless","")</f>
      </c>
    </row>
    <row r="24" spans="1:5" s="22" customFormat="1" ht="15" customHeight="1">
      <c r="A24" s="121" t="s">
        <v>194</v>
      </c>
      <c r="B24" s="121"/>
      <c r="C24" s="108" t="str">
        <f>Systems!P23</f>
        <v>PASS</v>
      </c>
      <c r="E24" s="101">
        <f>IF(C24="FAIL","Hot water system Energy Factor (EF) is too small","")</f>
      </c>
    </row>
  </sheetData>
  <sheetProtection password="DC79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00390625" style="0" customWidth="1"/>
    <col min="4" max="4" width="14.7109375" style="0" customWidth="1"/>
    <col min="6" max="6" width="4.140625" style="0" customWidth="1"/>
    <col min="10" max="10" width="3.28125" style="0" customWidth="1"/>
  </cols>
  <sheetData>
    <row r="1" spans="1:7" ht="15">
      <c r="A1" s="48" t="s">
        <v>117</v>
      </c>
      <c r="G1" s="48" t="s">
        <v>131</v>
      </c>
    </row>
    <row r="2" spans="1:20" ht="15">
      <c r="A2" t="s">
        <v>30</v>
      </c>
      <c r="D2" t="s">
        <v>28</v>
      </c>
      <c r="G2" s="29" t="s">
        <v>213</v>
      </c>
      <c r="K2" t="s">
        <v>139</v>
      </c>
      <c r="O2" s="29"/>
      <c r="P2" s="29"/>
      <c r="Q2" s="29"/>
      <c r="R2" s="29"/>
      <c r="S2" s="29"/>
      <c r="T2" s="29"/>
    </row>
    <row r="3" spans="1:12" ht="15">
      <c r="A3" t="s">
        <v>3</v>
      </c>
      <c r="B3" s="1" t="s">
        <v>29</v>
      </c>
      <c r="D3" t="s">
        <v>3</v>
      </c>
      <c r="E3" s="1" t="s">
        <v>29</v>
      </c>
      <c r="H3" s="29" t="s">
        <v>134</v>
      </c>
      <c r="I3" s="21">
        <f>ROUND(((2*(CFA/NS/$K3)^0.5+2*$K3*(CFA/NS/$K3)^0.5)*wall_height*NS-('Windows-Doors'!$B$25+'Windows-Doors'!$E$25))*98%,0)</f>
        <v>1059</v>
      </c>
      <c r="K3" s="21">
        <v>1</v>
      </c>
      <c r="L3" s="24" t="s">
        <v>141</v>
      </c>
    </row>
    <row r="4" spans="1:21" ht="15">
      <c r="A4" t="s">
        <v>2</v>
      </c>
      <c r="B4">
        <v>0.25</v>
      </c>
      <c r="D4" t="s">
        <v>130</v>
      </c>
      <c r="E4">
        <v>7.8</v>
      </c>
      <c r="H4" s="29" t="s">
        <v>135</v>
      </c>
      <c r="I4" s="21">
        <f>ROUND(((2*(CFA/NS/$K4)^0.5+2*$K4*(CFA/NS/$K4)^0.5)*wall_height*NS-('Windows-Doors'!$B$25+'Windows-Doors'!$E$25))*102%,0)</f>
        <v>1342</v>
      </c>
      <c r="K4" s="21">
        <v>3</v>
      </c>
      <c r="L4" s="24" t="s">
        <v>142</v>
      </c>
      <c r="R4" s="29"/>
      <c r="S4" s="117"/>
      <c r="T4" s="117"/>
      <c r="U4" s="117"/>
    </row>
    <row r="5" spans="1:21" ht="15">
      <c r="A5" t="s">
        <v>10</v>
      </c>
      <c r="B5">
        <v>1.25</v>
      </c>
      <c r="D5" t="s">
        <v>129</v>
      </c>
      <c r="E5">
        <v>6</v>
      </c>
      <c r="R5" s="29"/>
      <c r="S5" s="117"/>
      <c r="T5" s="117"/>
      <c r="U5" s="117"/>
    </row>
    <row r="6" spans="1:21" ht="15">
      <c r="A6" t="s">
        <v>11</v>
      </c>
      <c r="B6">
        <v>0.45</v>
      </c>
      <c r="D6" t="s">
        <v>128</v>
      </c>
      <c r="E6">
        <v>13</v>
      </c>
      <c r="G6" s="29" t="s">
        <v>136</v>
      </c>
      <c r="R6" s="29"/>
      <c r="S6" s="117"/>
      <c r="T6" s="117"/>
      <c r="U6" s="117"/>
    </row>
    <row r="7" spans="1:21" ht="15">
      <c r="A7" t="s">
        <v>121</v>
      </c>
      <c r="B7">
        <f>1.25*3.5</f>
        <v>4.375</v>
      </c>
      <c r="D7" t="s">
        <v>33</v>
      </c>
      <c r="E7">
        <v>30</v>
      </c>
      <c r="H7" s="29" t="s">
        <v>134</v>
      </c>
      <c r="I7" s="21">
        <f>ROUND(CFA/NS*(1+K7),0)</f>
        <v>1960</v>
      </c>
      <c r="K7" s="72">
        <v>-0.02</v>
      </c>
      <c r="L7" t="s">
        <v>138</v>
      </c>
      <c r="S7" s="117"/>
      <c r="T7" s="117"/>
      <c r="U7" s="117"/>
    </row>
    <row r="8" spans="1:21" ht="15">
      <c r="A8" t="s">
        <v>4</v>
      </c>
      <c r="B8">
        <v>0.32</v>
      </c>
      <c r="D8" t="s">
        <v>127</v>
      </c>
      <c r="E8">
        <v>13</v>
      </c>
      <c r="H8" s="29" t="s">
        <v>216</v>
      </c>
      <c r="I8" s="21">
        <f>ROUND((((CFA/NS)^0.5)/(12/((12^2+(roof_pitch-K8)^2)^0.5)))*(CFA/NS)^0.5*(1+0),0)</f>
        <v>2083</v>
      </c>
      <c r="K8" s="70">
        <v>2.5</v>
      </c>
      <c r="L8" t="s">
        <v>144</v>
      </c>
      <c r="P8" s="29"/>
      <c r="S8" s="117"/>
      <c r="T8" s="117"/>
      <c r="U8" s="117"/>
    </row>
    <row r="9" spans="1:12" ht="15">
      <c r="A9" t="s">
        <v>5</v>
      </c>
      <c r="B9">
        <v>0.68</v>
      </c>
      <c r="D9" t="s">
        <v>31</v>
      </c>
      <c r="E9">
        <v>0.65</v>
      </c>
      <c r="H9" s="29" t="s">
        <v>135</v>
      </c>
      <c r="I9" s="21">
        <f>ROUND((((CFA/NS)^0.5)/(12/((12^2+(roof_pitch-1)^2)^0.5)))*(CFA/NS)^0.5*(1+K9),0)</f>
        <v>2492</v>
      </c>
      <c r="K9" s="71">
        <v>0.15</v>
      </c>
      <c r="L9" t="s">
        <v>143</v>
      </c>
    </row>
    <row r="10" spans="1:5" ht="15">
      <c r="A10" t="s">
        <v>6</v>
      </c>
      <c r="B10">
        <v>0.6</v>
      </c>
      <c r="D10" t="s">
        <v>34</v>
      </c>
      <c r="E10">
        <v>0.3</v>
      </c>
    </row>
    <row r="11" spans="1:7" ht="15">
      <c r="A11" t="s">
        <v>7</v>
      </c>
      <c r="B11">
        <v>0.8</v>
      </c>
      <c r="D11" t="s">
        <v>32</v>
      </c>
      <c r="E11">
        <v>0.65</v>
      </c>
      <c r="G11" s="29" t="s">
        <v>137</v>
      </c>
    </row>
    <row r="12" spans="1:12" ht="15">
      <c r="A12" t="s">
        <v>8</v>
      </c>
      <c r="B12">
        <f>B4+B5+B8+B9</f>
        <v>2.5</v>
      </c>
      <c r="D12" t="s">
        <v>35</v>
      </c>
      <c r="E12" s="17">
        <v>0.2</v>
      </c>
      <c r="H12" s="29" t="s">
        <v>134</v>
      </c>
      <c r="I12" s="21">
        <f>ROUND(CFA/NS*(1+K12),0)</f>
        <v>1960</v>
      </c>
      <c r="K12" s="72">
        <v>-0.02</v>
      </c>
      <c r="L12" t="s">
        <v>138</v>
      </c>
    </row>
    <row r="13" spans="1:12" ht="15">
      <c r="A13" t="s">
        <v>9</v>
      </c>
      <c r="B13">
        <f>B4+B6+B8+B9</f>
        <v>1.7000000000000002</v>
      </c>
      <c r="H13" s="29" t="s">
        <v>135</v>
      </c>
      <c r="I13" s="21">
        <f>ROUND(CFA/NS*(1+K13),0)</f>
        <v>2040</v>
      </c>
      <c r="K13" s="72">
        <v>0.02</v>
      </c>
      <c r="L13" t="s">
        <v>138</v>
      </c>
    </row>
    <row r="14" spans="1:2" ht="15">
      <c r="A14" t="s">
        <v>120</v>
      </c>
      <c r="B14">
        <v>0.23</v>
      </c>
    </row>
    <row r="15" spans="1:7" ht="15">
      <c r="A15" t="s">
        <v>119</v>
      </c>
      <c r="B15">
        <v>0.11</v>
      </c>
      <c r="G15" s="29" t="s">
        <v>140</v>
      </c>
    </row>
    <row r="16" spans="1:12" ht="15">
      <c r="A16" t="s">
        <v>118</v>
      </c>
      <c r="B16">
        <v>0.13</v>
      </c>
      <c r="H16" s="29" t="s">
        <v>134</v>
      </c>
      <c r="I16" s="21">
        <f>ROUND((((CFA/NS)^0.5)/(12/((12^2+roof_pitch^2)^0.5)))*(CFA/NS)^0.5*(1+K16),0)</f>
        <v>2191</v>
      </c>
      <c r="K16" s="72">
        <v>-0.02</v>
      </c>
      <c r="L16" t="s">
        <v>138</v>
      </c>
    </row>
    <row r="17" spans="1:12" ht="15">
      <c r="A17" t="s">
        <v>122</v>
      </c>
      <c r="B17">
        <f>1.25*3.5</f>
        <v>4.375</v>
      </c>
      <c r="H17" s="29" t="s">
        <v>135</v>
      </c>
      <c r="I17" s="21">
        <f>ROUND((((CFA/NS)^0.5)/(12/((12^2+roof_pitch^2)^0.5)))*(CFA/NS)^0.5*(1+K17),0)</f>
        <v>2281</v>
      </c>
      <c r="K17" s="72">
        <v>0.02</v>
      </c>
      <c r="L17" t="s">
        <v>138</v>
      </c>
    </row>
    <row r="18" spans="1:11" ht="15">
      <c r="A18" t="s">
        <v>123</v>
      </c>
      <c r="B18">
        <f>1.25*5.5</f>
        <v>6.875</v>
      </c>
      <c r="H18" s="29"/>
      <c r="I18" s="21"/>
      <c r="K18" s="71"/>
    </row>
    <row r="19" spans="1:7" ht="15">
      <c r="A19" t="s">
        <v>45</v>
      </c>
      <c r="B19">
        <f>in_film_U+in_film_D</f>
        <v>1.4</v>
      </c>
      <c r="G19" s="29"/>
    </row>
    <row r="20" spans="1:2" ht="15">
      <c r="A20" t="s">
        <v>39</v>
      </c>
      <c r="B20">
        <f>out_film+out_skin_F+in_film_D+in_film_U+drywall+in_film_D</f>
        <v>4.02</v>
      </c>
    </row>
    <row r="21" spans="1:2" ht="15">
      <c r="A21" t="s">
        <v>150</v>
      </c>
      <c r="B21">
        <v>3.6</v>
      </c>
    </row>
    <row r="22" spans="1:2" ht="15">
      <c r="A22" t="s">
        <v>151</v>
      </c>
      <c r="B22">
        <v>3.8</v>
      </c>
    </row>
  </sheetData>
  <sheetProtection password="DC7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Fairey</dc:creator>
  <cp:keywords/>
  <dc:description/>
  <cp:lastModifiedBy> Philip Fairey</cp:lastModifiedBy>
  <dcterms:created xsi:type="dcterms:W3CDTF">2010-01-28T16:27:53Z</dcterms:created>
  <dcterms:modified xsi:type="dcterms:W3CDTF">2010-03-29T16:59:44Z</dcterms:modified>
  <cp:category/>
  <cp:version/>
  <cp:contentType/>
  <cp:contentStatus/>
</cp:coreProperties>
</file>