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airey\Documents\FL-govt\FEO\2017\DHW\"/>
    </mc:Choice>
  </mc:AlternateContent>
  <workbookProtection workbookAlgorithmName="SHA-512" workbookHashValue="u6ijEs1OKbS14nLgW+4ixv7k1AHmK/AnCgDb+Ocdv5qbIHVG+9nSYf+p9Um1Tb/b5ssmIy5jRtH/lEPLxmbmoA==" workbookSaltValue="Ign/yNBWwsTNB9S5n8vMBg==" workbookSpinCount="100000" lockStructure="1"/>
  <bookViews>
    <workbookView xWindow="120" yWindow="100" windowWidth="19320" windowHeight="12120" tabRatio="694"/>
  </bookViews>
  <sheets>
    <sheet name="Hot Water Calcs" sheetId="1" r:id="rId1"/>
    <sheet name="Monthly Calcs" sheetId="13" r:id="rId2"/>
    <sheet name="Tmains" sheetId="6" state="hidden" r:id="rId3"/>
    <sheet name="gpd" sheetId="8" state="hidden" r:id="rId4"/>
    <sheet name="nMEUL" sheetId="14" state="hidden" r:id="rId5"/>
    <sheet name="HW%" sheetId="15" state="hidden" r:id="rId6"/>
  </sheets>
  <externalReferences>
    <externalReference r:id="rId7"/>
  </externalReferences>
  <definedNames>
    <definedName name="ACY">'Hot Water Calcs'!$B$46</definedName>
    <definedName name="adjFmix">'Hot Water Calcs'!$F$45</definedName>
    <definedName name="AGC">'Hot Water Calcs'!$B$44</definedName>
    <definedName name="branchL">'Hot Water Calcs'!$B$10</definedName>
    <definedName name="Bsmt">'Hot Water Calcs'!$I$7</definedName>
    <definedName name="CAPw">'Hot Water Calcs'!$B$40</definedName>
    <definedName name="CFA">'Hot Water Calcs'!$I$4</definedName>
    <definedName name="CWgpd">'Hot Water Calcs'!$B$52</definedName>
    <definedName name="DW_EF">'Hot Water Calcs'!$B$48</definedName>
    <definedName name="dWcap">'Hot Water Calcs'!$B$47</definedName>
    <definedName name="DWgpd">'Hot Water Calcs'!$B$51</definedName>
    <definedName name="DWHReff">'Hot Water Calcs'!$I$40</definedName>
    <definedName name="DWHRinT">'Hot Water Calcs'!$I$41</definedName>
    <definedName name="e_mult">'Hot Water Calcs'!$Z$4</definedName>
    <definedName name="EC_r">'Hot Water Calcs'!$G$13</definedName>
    <definedName name="EC_x">'Hot Water Calcs'!$F$13</definedName>
    <definedName name="EDeff">'Hot Water Calcs'!$F$12</definedName>
    <definedName name="EFuse">'Hot Water Calcs'!$K$10</definedName>
    <definedName name="eRatio">nMEUL!$B$5</definedName>
    <definedName name="Ewaste">'Hot Water Calcs'!$F$11</definedName>
    <definedName name="Feff">'Hot Water Calcs'!$F$43</definedName>
    <definedName name="FixF">'Hot Water Calcs'!$I$44</definedName>
    <definedName name="Fmix">'Hot Water Calcs'!$F$44</definedName>
    <definedName name="g_mult">'Hot Water Calcs'!$Z$5</definedName>
    <definedName name="gdp_ratio">'Hot Water Calcs'!$I$52</definedName>
    <definedName name="HW_Climate_factor">'Hot Water Calcs'!$B$17</definedName>
    <definedName name="HWgpd">'Hot Water Calcs'!$F$4</definedName>
    <definedName name="Ifrac">'Hot Water Calcs'!$I$42</definedName>
    <definedName name="kWh_cost">'Hot Water Calcs'!$B$42</definedName>
    <definedName name="LER">'Hot Water Calcs'!$B$41</definedName>
    <definedName name="LocF">'Hot Water Calcs'!$I$43</definedName>
    <definedName name="loopL">'Hot Water Calcs'!$B$9</definedName>
    <definedName name="Nbr">'Hot Water Calcs'!$I$5</definedName>
    <definedName name="NCY">'Hot Water Calcs'!$B$45</definedName>
    <definedName name="Ndu">'Hot Water Calcs'!$I$8</definedName>
    <definedName name="Nfl">'Hot Water Calcs'!$I$6</definedName>
    <definedName name="oCDeff">'Hot Water Calcs'!$X$5</definedName>
    <definedName name="oEWfact">'Hot Water Calcs'!$F$51</definedName>
    <definedName name="oFrac">'Hot Water Calcs'!$X$4</definedName>
    <definedName name="oWgdp">'Hot Water Calcs'!$F$49</definedName>
    <definedName name="pEratio">'[1]Hot Water Calcs'!$H$32</definedName>
    <definedName name="PipeL">'Hot Water Calcs'!$B$8</definedName>
    <definedName name="PLC">'Hot Water Calcs'!$I$45</definedName>
    <definedName name="PLCfact">'Hot Water Calcs'!$I$46</definedName>
    <definedName name="pLength">'Hot Water Calcs'!$I$50</definedName>
    <definedName name="pRatio">'Hot Water Calcs'!$I$48</definedName>
    <definedName name="pumpkWh_y">'Hot Water Calcs'!$F$14</definedName>
    <definedName name="pumpW">'Hot Water Calcs'!$B$11</definedName>
    <definedName name="ratedEFe">'Hot Water Calcs'!$I$12</definedName>
    <definedName name="ratedEFg">'Hot Water Calcs'!$I$11</definedName>
    <definedName name="refCWgpd">'Hot Water Calcs'!$B$50</definedName>
    <definedName name="refDWgpd">'Hot Water Calcs'!$B$49</definedName>
    <definedName name="refFgpd">'Hot Water Calcs'!$F$47</definedName>
    <definedName name="refHWgpd">'Hot Water Calcs'!$G$4</definedName>
    <definedName name="refLoopL">'Hot Water Calcs'!$B$16</definedName>
    <definedName name="refPipeL">'Hot Water Calcs'!$B$15</definedName>
    <definedName name="refWgpd">'Hot Water Calcs'!$F$46</definedName>
    <definedName name="sEWfact">'Hot Water Calcs'!$F$52</definedName>
    <definedName name="sWgdp">'Hot Water Calcs'!$F$50</definedName>
    <definedName name="sysFactor">'Hot Water Calcs'!$I$49</definedName>
    <definedName name="Tavg">'Hot Water Calcs'!$F$40</definedName>
    <definedName name="therm_cost">'Hot Water Calcs'!$B$43</definedName>
    <definedName name="therms_y">'Hot Water Calcs'!$F$13</definedName>
    <definedName name="Tmains">'Hot Water Calcs'!$K$11</definedName>
    <definedName name="Tmains_offset">Tmains!$B$19</definedName>
    <definedName name="Tset">'Hot Water Calcs'!$F$41</definedName>
    <definedName name="Tuse">'Hot Water Calcs'!$F$42</definedName>
    <definedName name="VC">'Hot Water Calcs'!$I$45</definedName>
    <definedName name="VintFact">'Hot Water Calcs'!$X$6</definedName>
    <definedName name="WDeff">'Hot Water Calcs'!$F$10</definedName>
    <definedName name="WHinT">'Hot Water Calcs'!$K$8</definedName>
    <definedName name="WHinTadj">'Hot Water Calcs'!$K$7</definedName>
  </definedNames>
  <calcPr calcId="152511"/>
</workbook>
</file>

<file path=xl/calcChain.xml><?xml version="1.0" encoding="utf-8"?>
<calcChain xmlns="http://schemas.openxmlformats.org/spreadsheetml/2006/main">
  <c r="K10" i="1" l="1"/>
  <c r="B11" i="1" l="1"/>
  <c r="B9" i="1"/>
  <c r="B10" i="1"/>
  <c r="B8" i="15" l="1"/>
  <c r="AD9" i="1" l="1"/>
  <c r="AD8" i="1"/>
  <c r="AD7" i="1"/>
  <c r="AD6" i="1"/>
  <c r="AD5" i="1"/>
  <c r="AD4" i="1"/>
  <c r="B17" i="1" s="1"/>
  <c r="N8" i="15"/>
  <c r="J8" i="15"/>
  <c r="W7" i="15"/>
  <c r="X7" i="15" s="1"/>
  <c r="V7" i="15"/>
  <c r="V8" i="15" s="1"/>
  <c r="S7" i="15"/>
  <c r="T7" i="15" s="1"/>
  <c r="R7" i="15"/>
  <c r="R8" i="15" s="1"/>
  <c r="P7" i="15"/>
  <c r="O7" i="15"/>
  <c r="N7" i="15"/>
  <c r="L7" i="15"/>
  <c r="K7" i="15"/>
  <c r="J7" i="15"/>
  <c r="G7" i="15"/>
  <c r="H7" i="15" s="1"/>
  <c r="F7" i="15"/>
  <c r="F8" i="15" s="1"/>
  <c r="C7" i="15"/>
  <c r="D7" i="15" s="1"/>
  <c r="B7" i="15"/>
  <c r="X6" i="15"/>
  <c r="T6" i="15"/>
  <c r="P6" i="15"/>
  <c r="L6" i="15"/>
  <c r="H6" i="15"/>
  <c r="D6" i="15"/>
  <c r="X5" i="15"/>
  <c r="T5" i="15"/>
  <c r="P5" i="15"/>
  <c r="L5" i="15"/>
  <c r="H5" i="15"/>
  <c r="D5" i="15"/>
  <c r="X4" i="15"/>
  <c r="T4" i="15"/>
  <c r="P4" i="15"/>
  <c r="L4" i="15"/>
  <c r="H4" i="15"/>
  <c r="D4" i="15"/>
  <c r="J9" i="14" l="1"/>
  <c r="I40" i="1"/>
  <c r="I49" i="1"/>
  <c r="F43" i="1"/>
  <c r="F51" i="1"/>
  <c r="F52" i="1" s="1"/>
  <c r="F14" i="1"/>
  <c r="A5" i="14"/>
  <c r="B49" i="1"/>
  <c r="B50" i="1"/>
  <c r="T4" i="13" s="1"/>
  <c r="F47" i="1"/>
  <c r="F46" i="1"/>
  <c r="I42" i="1"/>
  <c r="I41" i="1"/>
  <c r="B45" i="1"/>
  <c r="B15" i="1"/>
  <c r="B8" i="1" s="1"/>
  <c r="I9" i="14"/>
  <c r="I8" i="14"/>
  <c r="K1" i="13"/>
  <c r="A2" i="13"/>
  <c r="C10" i="13" s="1"/>
  <c r="F10" i="13" s="1"/>
  <c r="Z3" i="13"/>
  <c r="Y3" i="13"/>
  <c r="I3" i="6"/>
  <c r="I4" i="6"/>
  <c r="I5" i="6"/>
  <c r="I6" i="6"/>
  <c r="I7" i="6"/>
  <c r="I8" i="6"/>
  <c r="I9" i="6"/>
  <c r="I10" i="6"/>
  <c r="I11" i="6"/>
  <c r="I12" i="6"/>
  <c r="I13" i="6"/>
  <c r="I14" i="6"/>
  <c r="J3" i="6"/>
  <c r="J4" i="6"/>
  <c r="J5" i="6"/>
  <c r="J6" i="6"/>
  <c r="J7" i="6"/>
  <c r="J8" i="6"/>
  <c r="J9" i="6"/>
  <c r="J10" i="6"/>
  <c r="J11" i="6"/>
  <c r="J12" i="6"/>
  <c r="J13" i="6"/>
  <c r="J14" i="6"/>
  <c r="K3" i="6"/>
  <c r="K4" i="6"/>
  <c r="K5" i="6"/>
  <c r="K6" i="6"/>
  <c r="K7" i="6"/>
  <c r="K8" i="6"/>
  <c r="K9" i="6"/>
  <c r="K10" i="6"/>
  <c r="K11" i="6"/>
  <c r="K12" i="6"/>
  <c r="K13" i="6"/>
  <c r="K14" i="6"/>
  <c r="L3" i="6"/>
  <c r="L4" i="6"/>
  <c r="L5" i="6"/>
  <c r="L6" i="6"/>
  <c r="L7" i="6"/>
  <c r="L8" i="6"/>
  <c r="L9" i="6"/>
  <c r="L10" i="6"/>
  <c r="L11" i="6"/>
  <c r="L12" i="6"/>
  <c r="L13" i="6"/>
  <c r="L14" i="6"/>
  <c r="M3" i="6"/>
  <c r="M4" i="6"/>
  <c r="M5" i="6"/>
  <c r="M6" i="6"/>
  <c r="M7" i="6"/>
  <c r="M8" i="6"/>
  <c r="M9" i="6"/>
  <c r="M10" i="6"/>
  <c r="M11" i="6"/>
  <c r="M12" i="6"/>
  <c r="M13" i="6"/>
  <c r="M14" i="6"/>
  <c r="N3" i="6"/>
  <c r="N4" i="6"/>
  <c r="N5" i="6"/>
  <c r="N6" i="6"/>
  <c r="N7" i="6"/>
  <c r="N8" i="6"/>
  <c r="N9" i="6"/>
  <c r="N10" i="6"/>
  <c r="N11" i="6"/>
  <c r="N12" i="6"/>
  <c r="N13" i="6"/>
  <c r="N14" i="6"/>
  <c r="F40" i="1"/>
  <c r="B16" i="6"/>
  <c r="I16" i="6" s="1"/>
  <c r="C16" i="6"/>
  <c r="J16" i="6" s="1"/>
  <c r="K16" i="6"/>
  <c r="E16" i="6"/>
  <c r="L16" i="6" s="1"/>
  <c r="F16" i="6"/>
  <c r="F17" i="6" s="1"/>
  <c r="G16" i="6"/>
  <c r="G17" i="6" s="1"/>
  <c r="G15" i="6"/>
  <c r="F15" i="6"/>
  <c r="E15" i="6"/>
  <c r="D15" i="6"/>
  <c r="C15" i="6"/>
  <c r="B15" i="6"/>
  <c r="C23" i="8"/>
  <c r="C22" i="8"/>
  <c r="C21" i="8"/>
  <c r="C20" i="8"/>
  <c r="C19" i="8"/>
  <c r="C18" i="8"/>
  <c r="C17" i="8"/>
  <c r="C16" i="8"/>
  <c r="C15" i="8"/>
  <c r="R44" i="1"/>
  <c r="R45" i="1"/>
  <c r="R23" i="1"/>
  <c r="F10" i="1" s="1"/>
  <c r="R22" i="1"/>
  <c r="R21" i="1"/>
  <c r="D15" i="8"/>
  <c r="E15" i="8" s="1"/>
  <c r="G15" i="8" s="1"/>
  <c r="N15" i="8" s="1"/>
  <c r="B23" i="8"/>
  <c r="B22" i="8"/>
  <c r="B21" i="8"/>
  <c r="B20" i="8"/>
  <c r="B19" i="8"/>
  <c r="B18" i="8"/>
  <c r="B17" i="8"/>
  <c r="B16" i="8"/>
  <c r="B15" i="8"/>
  <c r="B48" i="1"/>
  <c r="B47" i="1"/>
  <c r="B44" i="1"/>
  <c r="B43" i="1"/>
  <c r="B42" i="1"/>
  <c r="B41" i="1"/>
  <c r="B40" i="1"/>
  <c r="R43" i="1"/>
  <c r="R42" i="1"/>
  <c r="I44" i="1"/>
  <c r="I43" i="1"/>
  <c r="F16" i="8"/>
  <c r="F18" i="8"/>
  <c r="F20" i="8"/>
  <c r="F22" i="8"/>
  <c r="F15" i="8"/>
  <c r="F17" i="8"/>
  <c r="F19" i="8"/>
  <c r="F21" i="8"/>
  <c r="F23" i="8"/>
  <c r="W15" i="6"/>
  <c r="D17" i="6"/>
  <c r="E13" i="1"/>
  <c r="B16" i="1" l="1"/>
  <c r="B51" i="1"/>
  <c r="W7" i="13" s="1"/>
  <c r="N16" i="6"/>
  <c r="U16" i="6" s="1"/>
  <c r="T10" i="13"/>
  <c r="S13" i="6"/>
  <c r="AA13" i="6" s="1"/>
  <c r="AH13" i="6" s="1"/>
  <c r="U10" i="6"/>
  <c r="AC10" i="6" s="1"/>
  <c r="AJ10" i="6" s="1"/>
  <c r="S5" i="6"/>
  <c r="AA5" i="6" s="1"/>
  <c r="AH5" i="6" s="1"/>
  <c r="T8" i="13"/>
  <c r="V4" i="13"/>
  <c r="S16" i="6"/>
  <c r="L15" i="6"/>
  <c r="L17" i="6" s="1"/>
  <c r="Q8" i="6"/>
  <c r="Y8" i="6" s="1"/>
  <c r="AF8" i="6" s="1"/>
  <c r="C17" i="6"/>
  <c r="T6" i="13"/>
  <c r="P16" i="6"/>
  <c r="T15" i="13"/>
  <c r="Q12" i="6"/>
  <c r="Y12" i="6" s="1"/>
  <c r="AF12" i="6" s="1"/>
  <c r="Q5" i="6"/>
  <c r="Y5" i="6" s="1"/>
  <c r="AF5" i="6" s="1"/>
  <c r="U13" i="6"/>
  <c r="AC13" i="6" s="1"/>
  <c r="AJ13" i="6" s="1"/>
  <c r="U9" i="6"/>
  <c r="AC9" i="6" s="1"/>
  <c r="AJ9" i="6" s="1"/>
  <c r="B46" i="1"/>
  <c r="B52" i="1" s="1"/>
  <c r="U9" i="13" s="1"/>
  <c r="U14" i="6"/>
  <c r="AC14" i="6" s="1"/>
  <c r="AJ14" i="6" s="1"/>
  <c r="V6" i="13"/>
  <c r="Q9" i="6"/>
  <c r="Y9" i="6" s="1"/>
  <c r="AF9" i="6" s="1"/>
  <c r="B17" i="6"/>
  <c r="T5" i="13"/>
  <c r="U6" i="6"/>
  <c r="AC6" i="6" s="1"/>
  <c r="AJ6" i="6" s="1"/>
  <c r="S9" i="6"/>
  <c r="AA9" i="6" s="1"/>
  <c r="AH9" i="6" s="1"/>
  <c r="T9" i="13"/>
  <c r="U5" i="6"/>
  <c r="AC5" i="6" s="1"/>
  <c r="AJ5" i="6" s="1"/>
  <c r="Q4" i="6"/>
  <c r="Y4" i="6" s="1"/>
  <c r="AF4" i="6" s="1"/>
  <c r="C5" i="13"/>
  <c r="F5" i="13" s="1"/>
  <c r="L5" i="13" s="1"/>
  <c r="J8" i="14"/>
  <c r="Q13" i="6"/>
  <c r="Y13" i="6" s="1"/>
  <c r="AF13" i="6" s="1"/>
  <c r="V9" i="13"/>
  <c r="J15" i="6"/>
  <c r="J17" i="6" s="1"/>
  <c r="D16" i="8"/>
  <c r="D18" i="8"/>
  <c r="E18" i="8" s="1"/>
  <c r="G18" i="8" s="1"/>
  <c r="N18" i="8" s="1"/>
  <c r="I15" i="8"/>
  <c r="D19" i="8"/>
  <c r="E17" i="6"/>
  <c r="K15" i="6"/>
  <c r="K17" i="6" s="1"/>
  <c r="D20" i="8"/>
  <c r="M16" i="6"/>
  <c r="T16" i="6" s="1"/>
  <c r="D17" i="8"/>
  <c r="H17" i="8" s="1"/>
  <c r="H15" i="8"/>
  <c r="C12" i="13"/>
  <c r="D22" i="8"/>
  <c r="K15" i="8"/>
  <c r="C11" i="13"/>
  <c r="I15" i="6"/>
  <c r="I17" i="6" s="1"/>
  <c r="D21" i="8"/>
  <c r="E21" i="8" s="1"/>
  <c r="D23" i="8"/>
  <c r="C9" i="13"/>
  <c r="S4" i="6"/>
  <c r="AA4" i="6" s="1"/>
  <c r="AH4" i="6" s="1"/>
  <c r="C13" i="13"/>
  <c r="C7" i="13"/>
  <c r="C8" i="13"/>
  <c r="C15" i="13"/>
  <c r="C4" i="13"/>
  <c r="L10" i="13"/>
  <c r="P10" i="13"/>
  <c r="N10" i="13"/>
  <c r="C14" i="13"/>
  <c r="C6" i="13"/>
  <c r="H10" i="13"/>
  <c r="V11" i="13"/>
  <c r="S12" i="6"/>
  <c r="AA12" i="6" s="1"/>
  <c r="AH12" i="6" s="1"/>
  <c r="S8" i="6"/>
  <c r="AA8" i="6" s="1"/>
  <c r="AH8" i="6" s="1"/>
  <c r="F49" i="1"/>
  <c r="I50" i="1"/>
  <c r="I45" i="1" s="1"/>
  <c r="D10" i="13" s="1"/>
  <c r="G10" i="13" s="1"/>
  <c r="I48" i="1"/>
  <c r="F11" i="1" s="1"/>
  <c r="N15" i="6"/>
  <c r="P3" i="6"/>
  <c r="X3" i="6" s="1"/>
  <c r="P5" i="6"/>
  <c r="X5" i="6" s="1"/>
  <c r="AE5" i="6" s="1"/>
  <c r="P7" i="6"/>
  <c r="X7" i="6" s="1"/>
  <c r="AE7" i="6" s="1"/>
  <c r="P9" i="6"/>
  <c r="X9" i="6" s="1"/>
  <c r="AE9" i="6" s="1"/>
  <c r="P11" i="6"/>
  <c r="X11" i="6" s="1"/>
  <c r="AE11" i="6" s="1"/>
  <c r="P13" i="6"/>
  <c r="X13" i="6" s="1"/>
  <c r="AE13" i="6" s="1"/>
  <c r="R4" i="6"/>
  <c r="Z4" i="6" s="1"/>
  <c r="AG4" i="6" s="1"/>
  <c r="R6" i="6"/>
  <c r="Z6" i="6" s="1"/>
  <c r="AG6" i="6" s="1"/>
  <c r="R8" i="6"/>
  <c r="Z8" i="6" s="1"/>
  <c r="AG8" i="6" s="1"/>
  <c r="R10" i="6"/>
  <c r="Z10" i="6" s="1"/>
  <c r="AG10" i="6" s="1"/>
  <c r="R12" i="6"/>
  <c r="Z12" i="6" s="1"/>
  <c r="AG12" i="6" s="1"/>
  <c r="R14" i="6"/>
  <c r="Z14" i="6" s="1"/>
  <c r="AG14" i="6" s="1"/>
  <c r="T3" i="6"/>
  <c r="AB3" i="6" s="1"/>
  <c r="T5" i="6"/>
  <c r="AB5" i="6" s="1"/>
  <c r="AI5" i="6" s="1"/>
  <c r="T7" i="6"/>
  <c r="AB7" i="6" s="1"/>
  <c r="AI7" i="6" s="1"/>
  <c r="T9" i="6"/>
  <c r="AB9" i="6" s="1"/>
  <c r="AI9" i="6" s="1"/>
  <c r="T11" i="6"/>
  <c r="AB11" i="6" s="1"/>
  <c r="AI11" i="6" s="1"/>
  <c r="T13" i="6"/>
  <c r="AB13" i="6" s="1"/>
  <c r="AI13" i="6" s="1"/>
  <c r="V15" i="13"/>
  <c r="V10" i="13"/>
  <c r="V5" i="13"/>
  <c r="R16" i="6"/>
  <c r="P4" i="6"/>
  <c r="X4" i="6" s="1"/>
  <c r="AE4" i="6" s="1"/>
  <c r="P6" i="6"/>
  <c r="X6" i="6" s="1"/>
  <c r="AE6" i="6" s="1"/>
  <c r="P8" i="6"/>
  <c r="X8" i="6" s="1"/>
  <c r="AE8" i="6" s="1"/>
  <c r="P10" i="6"/>
  <c r="X10" i="6" s="1"/>
  <c r="AE10" i="6" s="1"/>
  <c r="P12" i="6"/>
  <c r="X12" i="6" s="1"/>
  <c r="AE12" i="6" s="1"/>
  <c r="P14" i="6"/>
  <c r="X14" i="6" s="1"/>
  <c r="AE14" i="6" s="1"/>
  <c r="R3" i="6"/>
  <c r="Z3" i="6" s="1"/>
  <c r="R5" i="6"/>
  <c r="Z5" i="6" s="1"/>
  <c r="AG5" i="6" s="1"/>
  <c r="R7" i="6"/>
  <c r="Z7" i="6" s="1"/>
  <c r="AG7" i="6" s="1"/>
  <c r="R9" i="6"/>
  <c r="Z9" i="6" s="1"/>
  <c r="AG9" i="6" s="1"/>
  <c r="R11" i="6"/>
  <c r="Z11" i="6" s="1"/>
  <c r="AG11" i="6" s="1"/>
  <c r="R13" i="6"/>
  <c r="Z13" i="6" s="1"/>
  <c r="AG13" i="6" s="1"/>
  <c r="T4" i="6"/>
  <c r="AB4" i="6" s="1"/>
  <c r="AI4" i="6" s="1"/>
  <c r="T6" i="6"/>
  <c r="AB6" i="6" s="1"/>
  <c r="AI6" i="6" s="1"/>
  <c r="T8" i="6"/>
  <c r="AB8" i="6" s="1"/>
  <c r="AI8" i="6" s="1"/>
  <c r="T10" i="6"/>
  <c r="AB10" i="6" s="1"/>
  <c r="AI10" i="6" s="1"/>
  <c r="T12" i="6"/>
  <c r="AB12" i="6" s="1"/>
  <c r="AI12" i="6" s="1"/>
  <c r="T14" i="6"/>
  <c r="AB14" i="6" s="1"/>
  <c r="AI14" i="6" s="1"/>
  <c r="Q16" i="6"/>
  <c r="V8" i="13"/>
  <c r="V7" i="13"/>
  <c r="V13" i="13"/>
  <c r="Q3" i="6"/>
  <c r="Y3" i="6" s="1"/>
  <c r="Q11" i="6"/>
  <c r="Y11" i="6" s="1"/>
  <c r="AF11" i="6" s="1"/>
  <c r="S7" i="6"/>
  <c r="AA7" i="6" s="1"/>
  <c r="AH7" i="6" s="1"/>
  <c r="U8" i="6"/>
  <c r="AC8" i="6" s="1"/>
  <c r="AJ8" i="6" s="1"/>
  <c r="Q6" i="6"/>
  <c r="Y6" i="6" s="1"/>
  <c r="AF6" i="6" s="1"/>
  <c r="Q14" i="6"/>
  <c r="Y14" i="6" s="1"/>
  <c r="AF14" i="6" s="1"/>
  <c r="S10" i="6"/>
  <c r="AA10" i="6" s="1"/>
  <c r="AH10" i="6" s="1"/>
  <c r="U3" i="6"/>
  <c r="AC3" i="6" s="1"/>
  <c r="U11" i="6"/>
  <c r="AC11" i="6" s="1"/>
  <c r="AJ11" i="6" s="1"/>
  <c r="Q7" i="6"/>
  <c r="Y7" i="6" s="1"/>
  <c r="AF7" i="6" s="1"/>
  <c r="S3" i="6"/>
  <c r="AA3" i="6" s="1"/>
  <c r="S11" i="6"/>
  <c r="AA11" i="6" s="1"/>
  <c r="AH11" i="6" s="1"/>
  <c r="U4" i="6"/>
  <c r="AC4" i="6" s="1"/>
  <c r="AJ4" i="6" s="1"/>
  <c r="U12" i="6"/>
  <c r="AC12" i="6" s="1"/>
  <c r="AJ12" i="6" s="1"/>
  <c r="V14" i="13"/>
  <c r="Q10" i="6"/>
  <c r="Y10" i="6" s="1"/>
  <c r="AF10" i="6" s="1"/>
  <c r="S6" i="6"/>
  <c r="AA6" i="6" s="1"/>
  <c r="AH6" i="6" s="1"/>
  <c r="S14" i="6"/>
  <c r="AA14" i="6" s="1"/>
  <c r="AH14" i="6" s="1"/>
  <c r="U7" i="6"/>
  <c r="AC7" i="6" s="1"/>
  <c r="AJ7" i="6" s="1"/>
  <c r="V12" i="13"/>
  <c r="T14" i="13"/>
  <c r="T11" i="13"/>
  <c r="T13" i="13"/>
  <c r="T7" i="13"/>
  <c r="T12" i="13"/>
  <c r="M15" i="6"/>
  <c r="W11" i="13" l="1"/>
  <c r="W4" i="13"/>
  <c r="F12" i="1"/>
  <c r="W15" i="13"/>
  <c r="W10" i="13"/>
  <c r="W6" i="13"/>
  <c r="N17" i="6"/>
  <c r="W13" i="13"/>
  <c r="W8" i="13"/>
  <c r="W14" i="13"/>
  <c r="W9" i="13"/>
  <c r="X9" i="13" s="1"/>
  <c r="W12" i="13"/>
  <c r="W5" i="13"/>
  <c r="P5" i="13"/>
  <c r="U12" i="13"/>
  <c r="N5" i="13"/>
  <c r="K17" i="8"/>
  <c r="L17" i="8" s="1"/>
  <c r="L15" i="8"/>
  <c r="M15" i="8" s="1"/>
  <c r="H18" i="8"/>
  <c r="K18" i="8"/>
  <c r="U13" i="13"/>
  <c r="U11" i="13"/>
  <c r="U6" i="13"/>
  <c r="U4" i="13"/>
  <c r="I18" i="8"/>
  <c r="J18" i="8" s="1"/>
  <c r="U10" i="13"/>
  <c r="U7" i="13"/>
  <c r="X7" i="13" s="1"/>
  <c r="U15" i="13"/>
  <c r="X15" i="13" s="1"/>
  <c r="U14" i="13"/>
  <c r="U5" i="13"/>
  <c r="U8" i="13"/>
  <c r="E10" i="13"/>
  <c r="H5" i="13"/>
  <c r="Y5" i="13" s="1"/>
  <c r="F50" i="1"/>
  <c r="I10" i="13" s="1"/>
  <c r="E17" i="8"/>
  <c r="D5" i="13"/>
  <c r="G5" i="13" s="1"/>
  <c r="M5" i="13" s="1"/>
  <c r="D8" i="13"/>
  <c r="G8" i="13" s="1"/>
  <c r="F7" i="13"/>
  <c r="D7" i="13"/>
  <c r="E7" i="13" s="1"/>
  <c r="F11" i="13"/>
  <c r="L11" i="13" s="1"/>
  <c r="D11" i="13"/>
  <c r="G11" i="13" s="1"/>
  <c r="F13" i="13"/>
  <c r="L13" i="13" s="1"/>
  <c r="D13" i="13"/>
  <c r="E13" i="13" s="1"/>
  <c r="D6" i="13"/>
  <c r="E6" i="13" s="1"/>
  <c r="D14" i="13"/>
  <c r="G14" i="13" s="1"/>
  <c r="D9" i="13"/>
  <c r="G9" i="13" s="1"/>
  <c r="D12" i="13"/>
  <c r="E12" i="13" s="1"/>
  <c r="F9" i="13"/>
  <c r="H9" i="13" s="1"/>
  <c r="Y9" i="13" s="1"/>
  <c r="F4" i="13"/>
  <c r="L4" i="13" s="1"/>
  <c r="D4" i="13"/>
  <c r="R10" i="13"/>
  <c r="F15" i="13"/>
  <c r="N15" i="13" s="1"/>
  <c r="D15" i="13"/>
  <c r="G15" i="13" s="1"/>
  <c r="M17" i="6"/>
  <c r="H21" i="8"/>
  <c r="K21" i="8"/>
  <c r="J15" i="8"/>
  <c r="O15" i="8"/>
  <c r="P15" i="8" s="1"/>
  <c r="F12" i="13"/>
  <c r="P12" i="13" s="1"/>
  <c r="K16" i="8"/>
  <c r="E16" i="8"/>
  <c r="G16" i="8" s="1"/>
  <c r="N16" i="8" s="1"/>
  <c r="H16" i="8"/>
  <c r="K22" i="8"/>
  <c r="H22" i="8"/>
  <c r="E22" i="8"/>
  <c r="E20" i="8"/>
  <c r="K20" i="8"/>
  <c r="H20" i="8"/>
  <c r="K23" i="8"/>
  <c r="E23" i="8"/>
  <c r="H23" i="8"/>
  <c r="K19" i="8"/>
  <c r="H19" i="8"/>
  <c r="E19" i="8"/>
  <c r="F8" i="13"/>
  <c r="P8" i="13" s="1"/>
  <c r="C16" i="13"/>
  <c r="K11" i="1" s="1"/>
  <c r="F6" i="13"/>
  <c r="F14" i="13"/>
  <c r="AJ3" i="6"/>
  <c r="AJ15" i="6" s="1"/>
  <c r="AC15" i="6"/>
  <c r="U15" i="6" s="1"/>
  <c r="U17" i="6" s="1"/>
  <c r="T16" i="13"/>
  <c r="G6" i="1" s="1"/>
  <c r="AE3" i="6"/>
  <c r="AE15" i="6" s="1"/>
  <c r="X15" i="6"/>
  <c r="P15" i="6" s="1"/>
  <c r="P17" i="6" s="1"/>
  <c r="Q10" i="13"/>
  <c r="M10" i="13"/>
  <c r="AG3" i="6"/>
  <c r="AG15" i="6" s="1"/>
  <c r="Z15" i="6"/>
  <c r="R15" i="6" s="1"/>
  <c r="R17" i="6" s="1"/>
  <c r="G21" i="8"/>
  <c r="N21" i="8" s="1"/>
  <c r="Y15" i="6"/>
  <c r="Q15" i="6" s="1"/>
  <c r="Q17" i="6" s="1"/>
  <c r="AF3" i="6"/>
  <c r="AF15" i="6" s="1"/>
  <c r="AB15" i="6"/>
  <c r="T15" i="6" s="1"/>
  <c r="T17" i="6" s="1"/>
  <c r="AI3" i="6"/>
  <c r="AI15" i="6" s="1"/>
  <c r="V16" i="13"/>
  <c r="G7" i="1" s="1"/>
  <c r="Y10" i="13"/>
  <c r="AH3" i="6"/>
  <c r="AH15" i="6" s="1"/>
  <c r="AA15" i="6"/>
  <c r="S15" i="6" s="1"/>
  <c r="S17" i="6" s="1"/>
  <c r="X10" i="13" l="1"/>
  <c r="X4" i="13"/>
  <c r="X11" i="13"/>
  <c r="X13" i="13"/>
  <c r="X6" i="13"/>
  <c r="X5" i="13"/>
  <c r="X12" i="13"/>
  <c r="X14" i="13"/>
  <c r="W16" i="13"/>
  <c r="F7" i="1" s="1"/>
  <c r="D7" i="1" s="1"/>
  <c r="L18" i="8"/>
  <c r="M18" i="8" s="1"/>
  <c r="I16" i="8"/>
  <c r="O16" i="8" s="1"/>
  <c r="P16" i="8" s="1"/>
  <c r="E11" i="13"/>
  <c r="X8" i="13"/>
  <c r="R5" i="13"/>
  <c r="P15" i="13"/>
  <c r="R15" i="13" s="1"/>
  <c r="L15" i="13"/>
  <c r="P13" i="13"/>
  <c r="I11" i="13"/>
  <c r="O10" i="13"/>
  <c r="S10" i="13" s="1"/>
  <c r="P9" i="13"/>
  <c r="L22" i="8"/>
  <c r="M22" i="8" s="1"/>
  <c r="N11" i="13"/>
  <c r="H15" i="13"/>
  <c r="Y15" i="13" s="1"/>
  <c r="M17" i="8"/>
  <c r="G17" i="8"/>
  <c r="N17" i="8" s="1"/>
  <c r="L19" i="8"/>
  <c r="M19" i="8" s="1"/>
  <c r="L23" i="8"/>
  <c r="M23" i="8" s="1"/>
  <c r="O18" i="8"/>
  <c r="P18" i="8" s="1"/>
  <c r="E9" i="13"/>
  <c r="U16" i="13"/>
  <c r="F6" i="1" s="1"/>
  <c r="D6" i="1" s="1"/>
  <c r="L9" i="13"/>
  <c r="L20" i="8"/>
  <c r="M20" i="8" s="1"/>
  <c r="L16" i="8"/>
  <c r="M16" i="8" s="1"/>
  <c r="E14" i="13"/>
  <c r="M14" i="13"/>
  <c r="O14" i="13"/>
  <c r="E5" i="13"/>
  <c r="H11" i="13"/>
  <c r="Y11" i="13" s="1"/>
  <c r="N12" i="13"/>
  <c r="R12" i="13" s="1"/>
  <c r="I5" i="13"/>
  <c r="J5" i="13" s="1"/>
  <c r="L8" i="13"/>
  <c r="N13" i="13"/>
  <c r="Q5" i="13"/>
  <c r="P11" i="13"/>
  <c r="O5" i="13"/>
  <c r="M9" i="13"/>
  <c r="O9" i="13"/>
  <c r="Q9" i="13"/>
  <c r="I9" i="13"/>
  <c r="J9" i="13" s="1"/>
  <c r="I15" i="13"/>
  <c r="O15" i="13"/>
  <c r="M8" i="13"/>
  <c r="O8" i="13"/>
  <c r="Q8" i="13"/>
  <c r="I8" i="13"/>
  <c r="D16" i="13"/>
  <c r="L7" i="13"/>
  <c r="P7" i="13"/>
  <c r="H7" i="13"/>
  <c r="Y7" i="13" s="1"/>
  <c r="N7" i="13"/>
  <c r="I14" i="13"/>
  <c r="N4" i="13"/>
  <c r="G6" i="13"/>
  <c r="N9" i="13"/>
  <c r="K7" i="1"/>
  <c r="E8" i="13"/>
  <c r="G7" i="13"/>
  <c r="Q14" i="13"/>
  <c r="H4" i="13"/>
  <c r="Y4" i="13" s="1"/>
  <c r="E4" i="13"/>
  <c r="G12" i="13"/>
  <c r="P4" i="13"/>
  <c r="E15" i="13"/>
  <c r="F44" i="1"/>
  <c r="G4" i="13"/>
  <c r="O4" i="13" s="1"/>
  <c r="N8" i="13"/>
  <c r="R8" i="13" s="1"/>
  <c r="G13" i="13"/>
  <c r="H13" i="13"/>
  <c r="Y13" i="13" s="1"/>
  <c r="M11" i="13"/>
  <c r="G23" i="8"/>
  <c r="N23" i="8" s="1"/>
  <c r="O11" i="13"/>
  <c r="Q11" i="13"/>
  <c r="L21" i="8"/>
  <c r="M21" i="8" s="1"/>
  <c r="G19" i="8"/>
  <c r="N19" i="8" s="1"/>
  <c r="H12" i="13"/>
  <c r="Y12" i="13" s="1"/>
  <c r="G20" i="8"/>
  <c r="N20" i="8" s="1"/>
  <c r="L12" i="13"/>
  <c r="G22" i="8"/>
  <c r="N22" i="8" s="1"/>
  <c r="H8" i="13"/>
  <c r="Y8" i="13" s="1"/>
  <c r="Q15" i="13"/>
  <c r="F16" i="13"/>
  <c r="M15" i="13"/>
  <c r="N6" i="13"/>
  <c r="L6" i="13"/>
  <c r="H6" i="13"/>
  <c r="P6" i="13"/>
  <c r="H14" i="13"/>
  <c r="N14" i="13"/>
  <c r="L14" i="13"/>
  <c r="P14" i="13"/>
  <c r="AH16" i="6"/>
  <c r="AH17" i="6"/>
  <c r="I21" i="8"/>
  <c r="AJ16" i="6"/>
  <c r="AJ17" i="6"/>
  <c r="J10" i="13"/>
  <c r="R18" i="6"/>
  <c r="AE16" i="6"/>
  <c r="AE17" i="6"/>
  <c r="AF17" i="6"/>
  <c r="AF16" i="6"/>
  <c r="AG16" i="6"/>
  <c r="AG17" i="6"/>
  <c r="AI16" i="6"/>
  <c r="AI17" i="6"/>
  <c r="Z10" i="13"/>
  <c r="X16" i="13" l="1"/>
  <c r="J16" i="8"/>
  <c r="R11" i="13"/>
  <c r="Z9" i="13"/>
  <c r="Z11" i="13"/>
  <c r="R13" i="13"/>
  <c r="F45" i="1"/>
  <c r="S5" i="13"/>
  <c r="S14" i="13"/>
  <c r="R9" i="13"/>
  <c r="I17" i="8"/>
  <c r="O17" i="8" s="1"/>
  <c r="P17" i="8" s="1"/>
  <c r="J15" i="13"/>
  <c r="M4" i="13"/>
  <c r="S9" i="13"/>
  <c r="E16" i="13"/>
  <c r="K8" i="1" s="1"/>
  <c r="R4" i="13"/>
  <c r="Z14" i="13"/>
  <c r="J11" i="13"/>
  <c r="Z5" i="13"/>
  <c r="S8" i="13"/>
  <c r="G16" i="13"/>
  <c r="R7" i="13"/>
  <c r="S15" i="13"/>
  <c r="Z8" i="13"/>
  <c r="I19" i="8"/>
  <c r="J19" i="8" s="1"/>
  <c r="Z15" i="13"/>
  <c r="I22" i="8"/>
  <c r="J22" i="8" s="1"/>
  <c r="M13" i="13"/>
  <c r="Q13" i="13"/>
  <c r="I13" i="13"/>
  <c r="O13" i="13"/>
  <c r="Q6" i="13"/>
  <c r="M6" i="13"/>
  <c r="O6" i="13"/>
  <c r="I6" i="13"/>
  <c r="Z6" i="13" s="1"/>
  <c r="O7" i="13"/>
  <c r="I7" i="13"/>
  <c r="Q7" i="13"/>
  <c r="M7" i="13"/>
  <c r="P16" i="13"/>
  <c r="G9" i="1" s="1"/>
  <c r="N16" i="13"/>
  <c r="G8" i="1" s="1"/>
  <c r="Q4" i="13"/>
  <c r="J8" i="13"/>
  <c r="I4" i="13"/>
  <c r="J4" i="13" s="1"/>
  <c r="M12" i="13"/>
  <c r="O12" i="13"/>
  <c r="I12" i="13"/>
  <c r="Z12" i="13" s="1"/>
  <c r="Q12" i="13"/>
  <c r="S11" i="13"/>
  <c r="I20" i="8"/>
  <c r="I23" i="8"/>
  <c r="Y6" i="13"/>
  <c r="H16" i="13"/>
  <c r="Y14" i="13"/>
  <c r="J14" i="13"/>
  <c r="R6" i="13"/>
  <c r="L16" i="13"/>
  <c r="G5" i="1" s="1"/>
  <c r="R14" i="13"/>
  <c r="J17" i="8"/>
  <c r="O21" i="8"/>
  <c r="P21" i="8" s="1"/>
  <c r="J21" i="8"/>
  <c r="AA12" i="13" l="1"/>
  <c r="AA11" i="13"/>
  <c r="AA4" i="13"/>
  <c r="AA10" i="13"/>
  <c r="AA9" i="13"/>
  <c r="AA13" i="13"/>
  <c r="AA5" i="13"/>
  <c r="AA16" i="13"/>
  <c r="AA8" i="13"/>
  <c r="AA15" i="13"/>
  <c r="AA7" i="13"/>
  <c r="U17" i="13"/>
  <c r="AA14" i="13"/>
  <c r="AA6" i="13"/>
  <c r="G4" i="1"/>
  <c r="O19" i="8"/>
  <c r="P19" i="8" s="1"/>
  <c r="J12" i="13"/>
  <c r="O22" i="8"/>
  <c r="P22" i="8" s="1"/>
  <c r="S13" i="13"/>
  <c r="S7" i="13"/>
  <c r="M16" i="13"/>
  <c r="F5" i="1" s="1"/>
  <c r="D5" i="1" s="1"/>
  <c r="Z4" i="13"/>
  <c r="I16" i="13"/>
  <c r="S4" i="13"/>
  <c r="Q16" i="13"/>
  <c r="F9" i="1" s="1"/>
  <c r="D9" i="1" s="1"/>
  <c r="S6" i="13"/>
  <c r="O16" i="13"/>
  <c r="F8" i="1" s="1"/>
  <c r="D8" i="1" s="1"/>
  <c r="J6" i="13"/>
  <c r="S12" i="13"/>
  <c r="J13" i="13"/>
  <c r="Z13" i="13"/>
  <c r="J7" i="13"/>
  <c r="Z7" i="13"/>
  <c r="J23" i="8"/>
  <c r="O23" i="8"/>
  <c r="P23" i="8" s="1"/>
  <c r="J20" i="8"/>
  <c r="O20" i="8"/>
  <c r="P20" i="8" s="1"/>
  <c r="R16" i="13"/>
  <c r="Y16" i="13"/>
  <c r="Y17" i="13" s="1"/>
  <c r="AB16" i="13" l="1"/>
  <c r="AB8" i="13"/>
  <c r="AB4" i="13"/>
  <c r="AB15" i="13"/>
  <c r="AB7" i="13"/>
  <c r="AB14" i="13"/>
  <c r="AB6" i="13"/>
  <c r="AB13" i="13"/>
  <c r="AB5" i="13"/>
  <c r="AB9" i="13"/>
  <c r="AB12" i="13"/>
  <c r="U18" i="13"/>
  <c r="AB11" i="13"/>
  <c r="AB10" i="13"/>
  <c r="K4" i="13"/>
  <c r="G13" i="1"/>
  <c r="G9" i="14" s="1"/>
  <c r="Z16" i="13"/>
  <c r="Y18" i="13" s="1"/>
  <c r="J16" i="13"/>
  <c r="S16" i="13"/>
  <c r="K6" i="13"/>
  <c r="F4" i="1"/>
  <c r="K5" i="13"/>
  <c r="K15" i="13"/>
  <c r="K11" i="13"/>
  <c r="K14" i="13"/>
  <c r="K10" i="13"/>
  <c r="K13" i="13"/>
  <c r="K8" i="13"/>
  <c r="K9" i="13"/>
  <c r="K12" i="13"/>
  <c r="K7" i="13"/>
  <c r="D8" i="14"/>
  <c r="G8" i="14" l="1"/>
  <c r="F15" i="1"/>
  <c r="D4" i="1"/>
  <c r="D9" i="14"/>
  <c r="F13" i="1"/>
  <c r="K16" i="13"/>
  <c r="I52" i="1"/>
  <c r="F9" i="14" l="1"/>
  <c r="E9" i="14" s="1"/>
  <c r="B9" i="14" s="1"/>
  <c r="D14" i="1"/>
  <c r="F8" i="14"/>
  <c r="E8" i="14" s="1"/>
  <c r="B8" i="14" s="1"/>
  <c r="B5" i="14" s="1"/>
  <c r="C5" i="14" s="1"/>
  <c r="F16" i="1" s="1"/>
  <c r="C9" i="14" l="1"/>
  <c r="C8" i="14"/>
  <c r="F17" i="1"/>
</calcChain>
</file>

<file path=xl/sharedStrings.xml><?xml version="1.0" encoding="utf-8"?>
<sst xmlns="http://schemas.openxmlformats.org/spreadsheetml/2006/main" count="393" uniqueCount="275">
  <si>
    <t>Nbr</t>
  </si>
  <si>
    <t>Ndu</t>
  </si>
  <si>
    <t>CAPw</t>
  </si>
  <si>
    <t>Plumbing Fixture Description</t>
  </si>
  <si>
    <t>Feff</t>
  </si>
  <si>
    <t>Distribution System Description</t>
  </si>
  <si>
    <t>Recirculation System Description</t>
  </si>
  <si>
    <t>dWcap</t>
  </si>
  <si>
    <t>LER</t>
  </si>
  <si>
    <t>AGC</t>
  </si>
  <si>
    <t>Efact</t>
  </si>
  <si>
    <t>re, none</t>
  </si>
  <si>
    <t>re, temp</t>
  </si>
  <si>
    <t>re, dmd</t>
  </si>
  <si>
    <t>re, man</t>
  </si>
  <si>
    <t>std</t>
  </si>
  <si>
    <t>low</t>
  </si>
  <si>
    <t>HWgpd</t>
  </si>
  <si>
    <t>Tavg</t>
  </si>
  <si>
    <t>User input fields are yellow</t>
  </si>
  <si>
    <t>pumpkWh/y</t>
  </si>
  <si>
    <t>all</t>
  </si>
  <si>
    <t>one</t>
  </si>
  <si>
    <t>no</t>
  </si>
  <si>
    <t>WH Type</t>
  </si>
  <si>
    <t>gas</t>
  </si>
  <si>
    <t>elec</t>
  </si>
  <si>
    <t>yes</t>
  </si>
  <si>
    <t>Miami</t>
  </si>
  <si>
    <t>Month</t>
  </si>
  <si>
    <t>diff</t>
  </si>
  <si>
    <t>TairAvg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</si>
  <si>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</si>
  <si>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</si>
  <si>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</si>
  <si>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</si>
  <si>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</si>
  <si>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</si>
  <si>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</si>
  <si>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</si>
  <si>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</si>
  <si>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</si>
  <si>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</si>
  <si>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</si>
  <si>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Tmains from EnergyGauge USA</t>
  </si>
  <si>
    <t>Monthly HWgpd</t>
  </si>
  <si>
    <t>Tmains_offset =</t>
  </si>
  <si>
    <t>HW gallons per month</t>
  </si>
  <si>
    <t>#Days</t>
  </si>
  <si>
    <t>average diff =</t>
  </si>
  <si>
    <t>Avg/wtdAvg</t>
  </si>
  <si>
    <t>occ</t>
  </si>
  <si>
    <t>x</t>
  </si>
  <si>
    <t>LocF</t>
  </si>
  <si>
    <t>%waste</t>
  </si>
  <si>
    <t>Wgpd</t>
  </si>
  <si>
    <t>%waste = 0.256 -0.016*occ</t>
  </si>
  <si>
    <t>CWgpd =</t>
  </si>
  <si>
    <t>DWgpd =</t>
  </si>
  <si>
    <t>FixF =</t>
  </si>
  <si>
    <t>LocF =</t>
  </si>
  <si>
    <t>PLC =</t>
  </si>
  <si>
    <t>PLCfactor =</t>
  </si>
  <si>
    <t>Equal flow?</t>
  </si>
  <si>
    <t>Table 4.2.2.5.2.11(3) Distribution system water use effectiveness</t>
  </si>
  <si>
    <r>
      <t>Table 4.2.2.5.2.11(5) Annual electricity consumption for hot water recirculation system pumps</t>
    </r>
    <r>
      <rPr>
        <sz val="11"/>
        <rFont val="Calibri"/>
        <family val="2"/>
        <scheme val="minor"/>
      </rPr>
      <t> </t>
    </r>
  </si>
  <si>
    <t>and:</t>
  </si>
  <si>
    <t>Wpred</t>
  </si>
  <si>
    <t>Fgpd</t>
  </si>
  <si>
    <t>Fpred</t>
  </si>
  <si>
    <t>%error</t>
  </si>
  <si>
    <t>Fmix_57</t>
  </si>
  <si>
    <t>Tmains =</t>
  </si>
  <si>
    <t>WHinT =</t>
  </si>
  <si>
    <t>pRatio =</t>
  </si>
  <si>
    <t>%waste*</t>
  </si>
  <si>
    <t>* Derived from values proposed by Van Decker</t>
  </si>
  <si>
    <t>nWgdp</t>
  </si>
  <si>
    <t>nFgdp</t>
  </si>
  <si>
    <t>normalixed to Fmix</t>
  </si>
  <si>
    <t>DWHRinT =</t>
  </si>
  <si>
    <t>sysFactor =</t>
  </si>
  <si>
    <t>pLength =</t>
  </si>
  <si>
    <t>Ifrac =</t>
  </si>
  <si>
    <t>Table 4.2.2.5.2.11(4)  Location factors for DWHRU placement</t>
  </si>
  <si>
    <t>Table 4.2.2.5.2.11(6) Hot water distribution system annual energy delivery effectiveness</t>
  </si>
  <si>
    <t>Table 4.2.2.5.2.11(1) Hot water fixture effectiveness</t>
  </si>
  <si>
    <t>none</t>
  </si>
  <si>
    <t>refDWgpd =</t>
  </si>
  <si>
    <t>refCWgpd =</t>
  </si>
  <si>
    <t>Home characteristics:</t>
  </si>
  <si>
    <t xml:space="preserve">only the fixture </t>
  </si>
  <si>
    <t>only the water heater</t>
  </si>
  <si>
    <t>both the fixture and water heater</t>
  </si>
  <si>
    <t>Δ gpd</t>
  </si>
  <si>
    <t>DW_EF</t>
  </si>
  <si>
    <t>Other named variables:</t>
  </si>
  <si>
    <t>#DWHRU</t>
  </si>
  <si>
    <t>Eq. Flow?</t>
  </si>
  <si>
    <t>fix eff</t>
  </si>
  <si>
    <t>sys type</t>
  </si>
  <si>
    <t>Pull down lists:</t>
  </si>
  <si>
    <t>CFA</t>
  </si>
  <si>
    <t>Bsmt</t>
  </si>
  <si>
    <t>EFuse =</t>
  </si>
  <si>
    <t>Fixture flow efficiency</t>
  </si>
  <si>
    <t>use rated EFs?</t>
  </si>
  <si>
    <t>HWgpd**</t>
  </si>
  <si>
    <t>Showers connected</t>
  </si>
  <si>
    <t>DWHR Placement</t>
  </si>
  <si>
    <t>low-flow</t>
  </si>
  <si>
    <t>(this value used only in this spreadsheet; CMP uses actual Tmain calculation relfected by row 15)</t>
  </si>
  <si>
    <t>HWpred</t>
  </si>
  <si>
    <t>Monthly Fmix</t>
  </si>
  <si>
    <t>(nW+nF)gpd</t>
  </si>
  <si>
    <r>
      <t>F</t>
    </r>
    <r>
      <rPr>
        <vertAlign val="subscript"/>
        <sz val="11"/>
        <rFont val="Calibri"/>
        <family val="2"/>
        <scheme val="minor"/>
      </rPr>
      <t>mix</t>
    </r>
    <r>
      <rPr>
        <sz val="11"/>
        <rFont val="Calibri"/>
        <family val="2"/>
        <scheme val="minor"/>
      </rPr>
      <t xml:space="preserve"> =</t>
    </r>
  </si>
  <si>
    <r>
      <t>adjF</t>
    </r>
    <r>
      <rPr>
        <vertAlign val="subscript"/>
        <sz val="11"/>
        <rFont val="Calibri"/>
        <family val="2"/>
        <scheme val="minor"/>
      </rPr>
      <t xml:space="preserve">mix </t>
    </r>
    <r>
      <rPr>
        <sz val="11"/>
        <rFont val="Calibri"/>
        <family val="2"/>
        <scheme val="minor"/>
      </rPr>
      <t>=</t>
    </r>
  </si>
  <si>
    <r>
      <t>F</t>
    </r>
    <r>
      <rPr>
        <vertAlign val="subscript"/>
        <sz val="11"/>
        <rFont val="Calibri"/>
        <family val="2"/>
        <scheme val="minor"/>
      </rPr>
      <t>eff</t>
    </r>
    <r>
      <rPr>
        <sz val="11"/>
        <rFont val="Calibri"/>
        <family val="2"/>
        <scheme val="minor"/>
      </rPr>
      <t xml:space="preserve"> =</t>
    </r>
  </si>
  <si>
    <t>P-insul</t>
  </si>
  <si>
    <t>R-3</t>
  </si>
  <si>
    <t>Std</t>
  </si>
  <si>
    <t>System type</t>
  </si>
  <si>
    <t xml:space="preserve">none </t>
  </si>
  <si>
    <t>Table 4.2.2.5.2.11(2) Hot Water Distribution Factors</t>
  </si>
  <si>
    <t>HW pipe Insulation</t>
  </si>
  <si>
    <t>Std sys pipe length</t>
  </si>
  <si>
    <t>Recirc sys loop length</t>
  </si>
  <si>
    <t>Recirc sys branch length</t>
  </si>
  <si>
    <t>Recirc pumpWatts</t>
  </si>
  <si>
    <t>Nfl</t>
  </si>
  <si>
    <t>Btu/mo</t>
  </si>
  <si>
    <t>gas therms</t>
  </si>
  <si>
    <t>elec kWh</t>
  </si>
  <si>
    <t>City</t>
  </si>
  <si>
    <t>Tavg =</t>
  </si>
  <si>
    <t>TMY City</t>
  </si>
  <si>
    <t>% HW</t>
  </si>
  <si>
    <t>gdp_ratio =</t>
  </si>
  <si>
    <t>(data from egUSA runs)</t>
  </si>
  <si>
    <t>sWgdp =</t>
  </si>
  <si>
    <t>sEWfact =</t>
  </si>
  <si>
    <t>refWgdp =</t>
  </si>
  <si>
    <t>sWgpd</t>
  </si>
  <si>
    <t>refFgpd =</t>
  </si>
  <si>
    <t>Tset =</t>
  </si>
  <si>
    <t>Tuse =</t>
  </si>
  <si>
    <t>oWgdp</t>
  </si>
  <si>
    <t>oWgdp =</t>
  </si>
  <si>
    <t>oEWfact =</t>
  </si>
  <si>
    <t>Operational Factors:</t>
  </si>
  <si>
    <t>e-Star</t>
  </si>
  <si>
    <t>BestAv</t>
  </si>
  <si>
    <t>2008</t>
  </si>
  <si>
    <t>cWash</t>
  </si>
  <si>
    <t>dWash</t>
  </si>
  <si>
    <t>$/kWh</t>
  </si>
  <si>
    <t>$/therm</t>
  </si>
  <si>
    <t>DW heat recovery?</t>
  </si>
  <si>
    <t>Ref std sys pipe length =</t>
  </si>
  <si>
    <t>Ref recirc sys loop length =</t>
  </si>
  <si>
    <t>WHinTadj =</t>
  </si>
  <si>
    <r>
      <t>CSA 55.1 DWHR</t>
    </r>
    <r>
      <rPr>
        <b/>
        <vertAlign val="subscript"/>
        <sz val="11"/>
        <rFont val="Calibri"/>
        <family val="2"/>
        <scheme val="minor"/>
      </rPr>
      <t>eff</t>
    </r>
  </si>
  <si>
    <t>Clothes washers &amp; dishwashers:</t>
  </si>
  <si>
    <t>DWHR systems:</t>
  </si>
  <si>
    <t>Water use:</t>
  </si>
  <si>
    <t>Operational:</t>
  </si>
  <si>
    <t>Piping:</t>
  </si>
  <si>
    <t>LER =</t>
  </si>
  <si>
    <t>CAPw =</t>
  </si>
  <si>
    <t>kWh_cost =</t>
  </si>
  <si>
    <t>therm_cost =</t>
  </si>
  <si>
    <t>AGC =</t>
  </si>
  <si>
    <t>NCY =</t>
  </si>
  <si>
    <t>ACY =</t>
  </si>
  <si>
    <t>dWcap =</t>
  </si>
  <si>
    <t>DW_EF =</t>
  </si>
  <si>
    <r>
      <t>DWHR</t>
    </r>
    <r>
      <rPr>
        <vertAlign val="subscript"/>
        <sz val="11"/>
        <rFont val="Calibri"/>
        <family val="2"/>
        <scheme val="minor"/>
      </rPr>
      <t xml:space="preserve">eff </t>
    </r>
    <r>
      <rPr>
        <sz val="11"/>
        <rFont val="Calibri"/>
        <family val="2"/>
        <scheme val="minor"/>
      </rPr>
      <t>=</t>
    </r>
  </si>
  <si>
    <t>Example Hot Water System Calculations</t>
  </si>
  <si>
    <t>Water heater:</t>
  </si>
  <si>
    <t>rated EF gas</t>
  </si>
  <si>
    <t>rated EF elec</t>
  </si>
  <si>
    <t>Fuel type</t>
  </si>
  <si>
    <t>HERS calcs:</t>
  </si>
  <si>
    <t>Drain Water Heat Recovery:</t>
  </si>
  <si>
    <t>VintFact =</t>
  </si>
  <si>
    <t>** from Parker &amp; Lutz data as modified by Van Decker waste fraction</t>
  </si>
  <si>
    <t>On average, approximately 20% (~10 gallons per day) of hot water is wasted by typical distribution system (Klein &amp; Van Decker)</t>
  </si>
  <si>
    <t>assume distribution system wasted hot water to be a linear function of number of occupants, estimated as follows</t>
  </si>
  <si>
    <t>Occ = 1.09 + 0.54*Nbr (from Parker &amp; Lutz draft paper)</t>
  </si>
  <si>
    <t>Distribution system type</t>
  </si>
  <si>
    <t>(nW+nF)gpd = 23.98 + 11.88*Nbr</t>
  </si>
  <si>
    <t>Ifrac= 0.56 + 0.015*Nbr - 0.0004*Nbr^2</t>
  </si>
  <si>
    <t>nWgpd = 9.8*Nbr^0.43</t>
  </si>
  <si>
    <t>nFgpd = 14.6 + 10.0*Nbr</t>
  </si>
  <si>
    <t>Ifrac</t>
  </si>
  <si>
    <t>CWgpd</t>
  </si>
  <si>
    <t>DWgpd</t>
  </si>
  <si>
    <t>days</t>
  </si>
  <si>
    <t>Tmains</t>
  </si>
  <si>
    <t>Fmix</t>
  </si>
  <si>
    <t>refHWgpd</t>
  </si>
  <si>
    <t>adjFmix</t>
  </si>
  <si>
    <t>WHinTadj</t>
  </si>
  <si>
    <t>refFgpd</t>
  </si>
  <si>
    <t>refoWgpd</t>
  </si>
  <si>
    <t>refsWgpd</t>
  </si>
  <si>
    <t>oWgpd</t>
  </si>
  <si>
    <t>Average:</t>
  </si>
  <si>
    <t>refWgpd</t>
  </si>
  <si>
    <t>Monthly Results:</t>
  </si>
  <si>
    <t>∆gpd</t>
  </si>
  <si>
    <t>Ugpd</t>
  </si>
  <si>
    <t>Ugpd =</t>
  </si>
  <si>
    <t>refCWgpd</t>
  </si>
  <si>
    <t>refDWgpd</t>
  </si>
  <si>
    <t>∆APLgpd</t>
  </si>
  <si>
    <t>WHinT</t>
  </si>
  <si>
    <t>Jacksonville</t>
  </si>
  <si>
    <t>Tallahassee</t>
  </si>
  <si>
    <t>Orlando</t>
  </si>
  <si>
    <t>Jax</t>
  </si>
  <si>
    <t>Tally</t>
  </si>
  <si>
    <t>need to add Stby loss</t>
  </si>
  <si>
    <t>Tampa</t>
  </si>
  <si>
    <t>Daytona Bch</t>
  </si>
  <si>
    <t>Datona</t>
  </si>
  <si>
    <r>
      <t>WD</t>
    </r>
    <r>
      <rPr>
        <vertAlign val="subscript"/>
        <sz val="11"/>
        <rFont val="Calibri"/>
        <family val="2"/>
        <scheme val="minor"/>
      </rPr>
      <t>eff</t>
    </r>
  </si>
  <si>
    <r>
      <t>E</t>
    </r>
    <r>
      <rPr>
        <vertAlign val="subscript"/>
        <sz val="11"/>
        <rFont val="Calibri"/>
        <family val="2"/>
        <scheme val="minor"/>
      </rPr>
      <t>waste</t>
    </r>
  </si>
  <si>
    <r>
      <t>ED</t>
    </r>
    <r>
      <rPr>
        <vertAlign val="subscript"/>
        <sz val="11"/>
        <rFont val="Calibri"/>
        <family val="2"/>
        <scheme val="minor"/>
      </rPr>
      <t>eff</t>
    </r>
  </si>
  <si>
    <t xml:space="preserve">nMEUL = REUL * (nEC_x / EC_r) </t>
  </si>
  <si>
    <t>nEC_x = (a* EEC_x – b)*(EC_x * EC_r * DSE_r) / (EEC_x * REUL)</t>
  </si>
  <si>
    <t>HERS Index = PEfrac * (TnML / TRL) * 100</t>
  </si>
  <si>
    <t>ratio</t>
  </si>
  <si>
    <t>nMEUL</t>
  </si>
  <si>
    <t>REUL</t>
  </si>
  <si>
    <t>nEC_x</t>
  </si>
  <si>
    <t>EC_x</t>
  </si>
  <si>
    <t>EC_r</t>
  </si>
  <si>
    <t>DSE_r</t>
  </si>
  <si>
    <t>EEC_r</t>
  </si>
  <si>
    <t>EEC_x</t>
  </si>
  <si>
    <t>a</t>
  </si>
  <si>
    <t>b</t>
  </si>
  <si>
    <t>Florida Code values</t>
  </si>
  <si>
    <t>FL code Homes:</t>
  </si>
  <si>
    <t>Daytona Beach</t>
  </si>
  <si>
    <t>Reference</t>
  </si>
  <si>
    <t>Proposed</t>
  </si>
  <si>
    <t>e-Ratio</t>
  </si>
  <si>
    <t>Heating</t>
  </si>
  <si>
    <t>Cooling</t>
  </si>
  <si>
    <t>HW</t>
  </si>
  <si>
    <t>Total</t>
  </si>
  <si>
    <t>HW %</t>
  </si>
  <si>
    <t>HW Climate factor =</t>
  </si>
  <si>
    <t xml:space="preserve">  * Calculated using Florida Code nMEUL method</t>
  </si>
  <si>
    <r>
      <rPr>
        <b/>
        <sz val="11"/>
        <rFont val="Calibri"/>
        <family val="2"/>
      </rPr>
      <t xml:space="preserve">∆ </t>
    </r>
    <r>
      <rPr>
        <b/>
        <sz val="11"/>
        <rFont val="Calibri"/>
        <family val="2"/>
        <scheme val="minor"/>
      </rPr>
      <t>Water</t>
    </r>
  </si>
  <si>
    <r>
      <rPr>
        <b/>
        <sz val="11"/>
        <rFont val="Calibri"/>
        <family val="2"/>
      </rPr>
      <t xml:space="preserve">∆ </t>
    </r>
    <r>
      <rPr>
        <b/>
        <sz val="11"/>
        <rFont val="Calibri"/>
        <family val="2"/>
        <scheme val="minor"/>
      </rPr>
      <t>e-Ratio **</t>
    </r>
  </si>
  <si>
    <r>
      <t xml:space="preserve">** Estimate only. Actual </t>
    </r>
    <r>
      <rPr>
        <sz val="11"/>
        <rFont val="Calibri"/>
        <family val="2"/>
      </rPr>
      <t>∆ e-Ratio will depend on a</t>
    </r>
  </si>
  <si>
    <t xml:space="preserve">     large number of home configuration variables.</t>
  </si>
  <si>
    <t>Δ MBtu</t>
  </si>
  <si>
    <t>e_mult</t>
  </si>
  <si>
    <t>g_mult</t>
  </si>
  <si>
    <t>oFrac =</t>
  </si>
  <si>
    <r>
      <t>oCD</t>
    </r>
    <r>
      <rPr>
        <vertAlign val="subscript"/>
        <sz val="11"/>
        <rFont val="Calibri"/>
        <family val="2"/>
        <scheme val="minor"/>
      </rPr>
      <t xml:space="preserve">eff </t>
    </r>
    <r>
      <rPr>
        <sz val="11"/>
        <rFont val="Calibri"/>
        <family val="2"/>
        <scheme val="minor"/>
      </rPr>
      <t>=</t>
    </r>
  </si>
  <si>
    <t>Clothes washer =</t>
  </si>
  <si>
    <t>Dishwasher =</t>
  </si>
  <si>
    <t>Source Multipliers:</t>
  </si>
  <si>
    <r>
      <rPr>
        <b/>
        <sz val="11"/>
        <rFont val="Calibri"/>
        <family val="2"/>
      </rPr>
      <t xml:space="preserve">∆ HW </t>
    </r>
    <r>
      <rPr>
        <b/>
        <sz val="11"/>
        <rFont val="Calibri"/>
        <family val="2"/>
        <scheme val="minor"/>
      </rPr>
      <t>Energy *</t>
    </r>
  </si>
  <si>
    <t>Variable Name</t>
  </si>
  <si>
    <t>refAvgGpd</t>
  </si>
  <si>
    <t>AvgGpd</t>
  </si>
  <si>
    <t>Proposed (PD)</t>
  </si>
  <si>
    <t>Reference (RD)</t>
  </si>
  <si>
    <t>w.r.t.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</si>
</sst>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164" formatCode="0.0"/>
    <numFmt numFmtId="165" formatCode="0.0000"/>
    <numFmt numFmtId="166" formatCode="0.0%"/>
    <numFmt numFmtId="167" formatCode="0.000"/>
    <numFmt numFmtId="168" formatCode="#,##0.0"/>
    <numFmt numFmtId="169" formatCode="#,##0.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ourier New"/>
      <family val="3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9900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b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rgb="FF009900"/>
      <name val="Calibri"/>
      <family val="2"/>
    </font>
    <font>
      <b/>
      <sz val="11"/>
      <color rgb="FF0099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3" fillId="0" borderId="0">
      <alignment vertical="top"/>
    </xf>
    <xf numFmtId="3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4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/>
  </cellStyleXfs>
  <cellXfs count="30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horizontal="left" indent="1"/>
    </xf>
    <xf numFmtId="0" fontId="0" fillId="3" borderId="0" xfId="0" applyFill="1"/>
    <xf numFmtId="2" fontId="0" fillId="3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2" fontId="2" fillId="0" borderId="0" xfId="0" applyNumberFormat="1" applyFont="1"/>
    <xf numFmtId="166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7" fontId="0" fillId="0" borderId="0" xfId="0" applyNumberFormat="1"/>
    <xf numFmtId="167" fontId="2" fillId="0" borderId="0" xfId="0" applyNumberFormat="1" applyFont="1"/>
    <xf numFmtId="0" fontId="2" fillId="0" borderId="0" xfId="0" applyFont="1" applyAlignment="1">
      <alignment horizontal="right" indent="1"/>
    </xf>
    <xf numFmtId="0" fontId="0" fillId="0" borderId="15" xfId="0" applyBorder="1" applyAlignment="1">
      <alignment horizontal="right"/>
    </xf>
    <xf numFmtId="2" fontId="0" fillId="0" borderId="15" xfId="0" applyNumberFormat="1" applyBorder="1"/>
    <xf numFmtId="164" fontId="0" fillId="0" borderId="0" xfId="0" applyNumberFormat="1"/>
    <xf numFmtId="164" fontId="0" fillId="0" borderId="15" xfId="0" applyNumberFormat="1" applyBorder="1"/>
    <xf numFmtId="164" fontId="0" fillId="0" borderId="0" xfId="0" applyNumberFormat="1" applyFill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1" fontId="0" fillId="0" borderId="0" xfId="0" applyNumberFormat="1"/>
    <xf numFmtId="0" fontId="0" fillId="0" borderId="15" xfId="0" applyFill="1" applyBorder="1" applyAlignment="1">
      <alignment horizontal="right"/>
    </xf>
    <xf numFmtId="0" fontId="0" fillId="0" borderId="15" xfId="0" applyBorder="1"/>
    <xf numFmtId="1" fontId="0" fillId="0" borderId="15" xfId="0" applyNumberFormat="1" applyBorder="1"/>
    <xf numFmtId="2" fontId="0" fillId="0" borderId="0" xfId="0" applyNumberFormat="1" applyAlignment="1">
      <alignment horizontal="left" indent="1"/>
    </xf>
    <xf numFmtId="164" fontId="3" fillId="4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6" fontId="0" fillId="0" borderId="0" xfId="0" applyNumberForma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left" indent="2"/>
    </xf>
    <xf numFmtId="165" fontId="2" fillId="0" borderId="16" xfId="0" applyNumberFormat="1" applyFont="1" applyBorder="1"/>
    <xf numFmtId="0" fontId="2" fillId="0" borderId="16" xfId="0" applyFont="1" applyBorder="1"/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164" fontId="0" fillId="3" borderId="0" xfId="0" applyNumberFormat="1" applyFill="1"/>
    <xf numFmtId="166" fontId="0" fillId="3" borderId="0" xfId="0" applyNumberFormat="1" applyFill="1"/>
    <xf numFmtId="2" fontId="0" fillId="0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166" fontId="0" fillId="0" borderId="0" xfId="0" applyNumberFormat="1" applyFont="1" applyFill="1" applyBorder="1" applyAlignment="1"/>
    <xf numFmtId="166" fontId="0" fillId="3" borderId="0" xfId="0" applyNumberFormat="1" applyFont="1" applyFill="1" applyBorder="1" applyAlignment="1"/>
    <xf numFmtId="164" fontId="13" fillId="0" borderId="0" xfId="0" applyNumberFormat="1" applyFont="1"/>
    <xf numFmtId="2" fontId="0" fillId="6" borderId="0" xfId="0" applyNumberFormat="1" applyFill="1"/>
    <xf numFmtId="164" fontId="0" fillId="6" borderId="0" xfId="0" applyNumberFormat="1" applyFill="1"/>
    <xf numFmtId="0" fontId="1" fillId="6" borderId="0" xfId="0" applyFont="1" applyFill="1" applyAlignment="1">
      <alignment horizontal="right"/>
    </xf>
    <xf numFmtId="164" fontId="2" fillId="0" borderId="0" xfId="0" applyNumberFormat="1" applyFont="1"/>
    <xf numFmtId="164" fontId="0" fillId="3" borderId="0" xfId="0" applyNumberFormat="1" applyFont="1" applyFill="1" applyBorder="1" applyAlignment="1"/>
    <xf numFmtId="0" fontId="1" fillId="6" borderId="0" xfId="0" applyFont="1" applyFill="1" applyBorder="1" applyAlignment="1">
      <alignment horizontal="right"/>
    </xf>
    <xf numFmtId="164" fontId="0" fillId="6" borderId="0" xfId="0" applyNumberFormat="1" applyFont="1" applyFill="1" applyBorder="1" applyAlignment="1"/>
    <xf numFmtId="0" fontId="1" fillId="6" borderId="15" xfId="0" applyFont="1" applyFill="1" applyBorder="1" applyAlignment="1">
      <alignment horizontal="centerContinuous"/>
    </xf>
    <xf numFmtId="0" fontId="1" fillId="5" borderId="0" xfId="0" applyFont="1" applyFill="1" applyAlignment="1">
      <alignment horizontal="right"/>
    </xf>
    <xf numFmtId="167" fontId="0" fillId="5" borderId="0" xfId="0" applyNumberFormat="1" applyFill="1"/>
    <xf numFmtId="167" fontId="0" fillId="3" borderId="0" xfId="0" applyNumberFormat="1" applyFill="1"/>
    <xf numFmtId="0" fontId="0" fillId="0" borderId="0" xfId="0" applyAlignment="1">
      <alignment horizontal="left" indent="3"/>
    </xf>
    <xf numFmtId="167" fontId="2" fillId="0" borderId="0" xfId="0" applyNumberFormat="1" applyFont="1" applyAlignment="1">
      <alignment horizontal="right"/>
    </xf>
    <xf numFmtId="0" fontId="5" fillId="0" borderId="0" xfId="0" applyFont="1"/>
    <xf numFmtId="1" fontId="2" fillId="0" borderId="0" xfId="0" applyNumberFormat="1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15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14" fillId="0" borderId="0" xfId="0" applyFont="1"/>
    <xf numFmtId="0" fontId="8" fillId="0" borderId="3" xfId="0" applyFont="1" applyBorder="1" applyAlignment="1">
      <alignment vertical="center"/>
    </xf>
    <xf numFmtId="167" fontId="8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9" fontId="2" fillId="0" borderId="15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>
      <alignment horizontal="center"/>
    </xf>
    <xf numFmtId="164" fontId="12" fillId="0" borderId="3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right" vertical="center" wrapText="1"/>
    </xf>
    <xf numFmtId="0" fontId="0" fillId="0" borderId="0" xfId="0" applyFill="1" applyBorder="1" applyAlignment="1">
      <alignment horizontal="left"/>
    </xf>
    <xf numFmtId="165" fontId="0" fillId="0" borderId="0" xfId="0" applyNumberFormat="1"/>
    <xf numFmtId="165" fontId="0" fillId="0" borderId="15" xfId="0" applyNumberFormat="1" applyBorder="1"/>
    <xf numFmtId="0" fontId="0" fillId="6" borderId="15" xfId="0" applyFill="1" applyBorder="1" applyAlignment="1">
      <alignment horizontal="centerContinuous"/>
    </xf>
    <xf numFmtId="2" fontId="0" fillId="3" borderId="3" xfId="0" applyNumberFormat="1" applyFont="1" applyFill="1" applyBorder="1" applyAlignment="1"/>
    <xf numFmtId="0" fontId="2" fillId="0" borderId="15" xfId="0" applyFont="1" applyBorder="1"/>
    <xf numFmtId="0" fontId="2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/>
    <xf numFmtId="0" fontId="6" fillId="0" borderId="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2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10" fontId="2" fillId="0" borderId="0" xfId="0" applyNumberFormat="1" applyFont="1"/>
    <xf numFmtId="3" fontId="0" fillId="0" borderId="0" xfId="0" applyNumberFormat="1"/>
    <xf numFmtId="3" fontId="0" fillId="0" borderId="7" xfId="0" applyNumberFormat="1" applyBorder="1"/>
    <xf numFmtId="168" fontId="0" fillId="0" borderId="0" xfId="0" applyNumberFormat="1" applyFill="1" applyBorder="1"/>
    <xf numFmtId="2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Border="1"/>
    <xf numFmtId="2" fontId="0" fillId="0" borderId="15" xfId="0" applyNumberFormat="1" applyFont="1" applyBorder="1"/>
    <xf numFmtId="166" fontId="2" fillId="0" borderId="0" xfId="0" applyNumberFormat="1" applyFont="1" applyFill="1" applyBorder="1" applyAlignment="1" applyProtection="1">
      <alignment horizontal="right"/>
    </xf>
    <xf numFmtId="0" fontId="25" fillId="0" borderId="0" xfId="0" applyFont="1" applyAlignment="1">
      <alignment horizontal="right"/>
    </xf>
    <xf numFmtId="2" fontId="25" fillId="0" borderId="0" xfId="0" applyNumberFormat="1" applyFont="1" applyAlignment="1">
      <alignment horizontal="left"/>
    </xf>
    <xf numFmtId="164" fontId="25" fillId="0" borderId="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>
      <alignment horizontal="left"/>
    </xf>
    <xf numFmtId="166" fontId="25" fillId="0" borderId="0" xfId="0" applyNumberFormat="1" applyFont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0" fontId="7" fillId="0" borderId="0" xfId="0" applyFont="1" applyAlignment="1">
      <alignment horizontal="left" vertical="center"/>
    </xf>
    <xf numFmtId="0" fontId="2" fillId="0" borderId="0" xfId="0" quotePrefix="1" applyFont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>
      <alignment horizontal="right" indent="1"/>
    </xf>
    <xf numFmtId="0" fontId="2" fillId="0" borderId="0" xfId="0" applyFont="1" applyProtection="1"/>
    <xf numFmtId="0" fontId="2" fillId="0" borderId="0" xfId="0" applyFont="1" applyFill="1" applyBorder="1" applyAlignment="1" applyProtection="1">
      <alignment horizontal="right"/>
    </xf>
    <xf numFmtId="2" fontId="2" fillId="0" borderId="0" xfId="0" applyNumberFormat="1" applyFont="1" applyProtection="1"/>
    <xf numFmtId="167" fontId="2" fillId="0" borderId="0" xfId="0" applyNumberFormat="1" applyFont="1" applyProtection="1"/>
    <xf numFmtId="167" fontId="2" fillId="0" borderId="0" xfId="0" applyNumberFormat="1" applyFont="1" applyAlignment="1" applyProtection="1"/>
    <xf numFmtId="2" fontId="2" fillId="0" borderId="0" xfId="0" applyNumberFormat="1" applyFont="1" applyFill="1" applyProtection="1"/>
    <xf numFmtId="0" fontId="2" fillId="0" borderId="0" xfId="0" applyFont="1" applyFill="1" applyBorder="1" applyAlignment="1" applyProtection="1"/>
    <xf numFmtId="1" fontId="2" fillId="0" borderId="0" xfId="0" applyNumberFormat="1" applyFont="1" applyFill="1" applyAlignment="1" applyProtection="1">
      <alignment horizontal="right"/>
    </xf>
    <xf numFmtId="2" fontId="2" fillId="0" borderId="0" xfId="0" applyNumberFormat="1" applyFont="1" applyFill="1" applyAlignment="1" applyProtection="1">
      <alignment horizontal="right"/>
    </xf>
    <xf numFmtId="0" fontId="0" fillId="0" borderId="0" xfId="0" quotePrefix="1" applyFont="1" applyAlignment="1">
      <alignment horizontal="left" indent="1"/>
    </xf>
    <xf numFmtId="0" fontId="0" fillId="0" borderId="0" xfId="0" quotePrefix="1"/>
    <xf numFmtId="0" fontId="14" fillId="0" borderId="0" xfId="0" applyFont="1" applyAlignment="1">
      <alignment horizontal="right" indent="1"/>
    </xf>
    <xf numFmtId="0" fontId="6" fillId="0" borderId="0" xfId="0" applyFont="1" applyAlignment="1">
      <alignment horizontal="center"/>
    </xf>
    <xf numFmtId="164" fontId="8" fillId="0" borderId="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2" fontId="8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7" fontId="25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2" fontId="2" fillId="0" borderId="0" xfId="0" applyNumberFormat="1" applyFont="1" applyAlignment="1">
      <alignment horizontal="right"/>
    </xf>
    <xf numFmtId="1" fontId="2" fillId="0" borderId="15" xfId="0" applyNumberFormat="1" applyFont="1" applyBorder="1"/>
    <xf numFmtId="2" fontId="2" fillId="0" borderId="15" xfId="0" applyNumberFormat="1" applyFont="1" applyBorder="1" applyAlignment="1">
      <alignment horizontal="right"/>
    </xf>
    <xf numFmtId="2" fontId="2" fillId="7" borderId="0" xfId="0" applyNumberFormat="1" applyFont="1" applyFill="1"/>
    <xf numFmtId="2" fontId="2" fillId="7" borderId="15" xfId="0" applyNumberFormat="1" applyFont="1" applyFill="1" applyBorder="1"/>
    <xf numFmtId="2" fontId="2" fillId="0" borderId="15" xfId="0" applyNumberFormat="1" applyFont="1" applyFill="1" applyBorder="1"/>
    <xf numFmtId="2" fontId="2" fillId="8" borderId="0" xfId="0" applyNumberFormat="1" applyFont="1" applyFill="1"/>
    <xf numFmtId="2" fontId="2" fillId="8" borderId="15" xfId="0" applyNumberFormat="1" applyFont="1" applyFill="1" applyBorder="1"/>
    <xf numFmtId="165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/>
    <xf numFmtId="165" fontId="2" fillId="0" borderId="15" xfId="0" applyNumberFormat="1" applyFont="1" applyFill="1" applyBorder="1" applyAlignment="1">
      <alignment horizontal="right"/>
    </xf>
    <xf numFmtId="165" fontId="2" fillId="0" borderId="15" xfId="0" applyNumberFormat="1" applyFont="1" applyFill="1" applyBorder="1"/>
    <xf numFmtId="1" fontId="3" fillId="0" borderId="0" xfId="0" applyNumberFormat="1" applyFont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Fill="1"/>
    <xf numFmtId="2" fontId="3" fillId="0" borderId="0" xfId="0" applyNumberFormat="1" applyFont="1" applyFill="1"/>
    <xf numFmtId="2" fontId="3" fillId="7" borderId="0" xfId="0" applyNumberFormat="1" applyFont="1" applyFill="1"/>
    <xf numFmtId="2" fontId="3" fillId="8" borderId="0" xfId="0" applyNumberFormat="1" applyFont="1" applyFill="1"/>
    <xf numFmtId="0" fontId="3" fillId="0" borderId="15" xfId="0" applyFont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7" borderId="15" xfId="0" applyFont="1" applyFill="1" applyBorder="1" applyAlignment="1">
      <alignment horizontal="right"/>
    </xf>
    <xf numFmtId="0" fontId="3" fillId="8" borderId="15" xfId="0" applyFont="1" applyFill="1" applyBorder="1" applyAlignment="1">
      <alignment horizontal="right"/>
    </xf>
    <xf numFmtId="2" fontId="2" fillId="7" borderId="0" xfId="0" applyNumberFormat="1" applyFont="1" applyFill="1" applyBorder="1"/>
    <xf numFmtId="2" fontId="0" fillId="8" borderId="0" xfId="0" applyNumberFormat="1" applyFill="1"/>
    <xf numFmtId="0" fontId="26" fillId="7" borderId="15" xfId="0" applyFont="1" applyFill="1" applyBorder="1" applyAlignment="1">
      <alignment horizontal="right"/>
    </xf>
    <xf numFmtId="0" fontId="1" fillId="8" borderId="15" xfId="0" applyFont="1" applyFill="1" applyBorder="1" applyAlignment="1">
      <alignment horizontal="right"/>
    </xf>
    <xf numFmtId="2" fontId="0" fillId="8" borderId="15" xfId="0" applyNumberFormat="1" applyFill="1" applyBorder="1"/>
    <xf numFmtId="0" fontId="27" fillId="0" borderId="15" xfId="0" applyFont="1" applyBorder="1" applyAlignment="1">
      <alignment horizontal="right"/>
    </xf>
    <xf numFmtId="0" fontId="0" fillId="4" borderId="15" xfId="0" applyFill="1" applyBorder="1" applyAlignment="1">
      <alignment horizontal="right"/>
    </xf>
    <xf numFmtId="2" fontId="0" fillId="4" borderId="0" xfId="0" applyNumberFormat="1" applyFill="1"/>
    <xf numFmtId="2" fontId="3" fillId="4" borderId="0" xfId="0" applyNumberFormat="1" applyFont="1" applyFill="1"/>
    <xf numFmtId="2" fontId="0" fillId="4" borderId="15" xfId="0" applyNumberFormat="1" applyFill="1" applyBorder="1"/>
    <xf numFmtId="0" fontId="2" fillId="4" borderId="3" xfId="0" applyFont="1" applyFill="1" applyBorder="1" applyAlignment="1">
      <alignment horizontal="center"/>
    </xf>
    <xf numFmtId="167" fontId="22" fillId="0" borderId="0" xfId="0" applyNumberFormat="1" applyFont="1" applyAlignment="1">
      <alignment horizontal="right"/>
    </xf>
    <xf numFmtId="2" fontId="0" fillId="0" borderId="0" xfId="0" applyNumberFormat="1" applyFill="1" applyAlignment="1">
      <alignment horizontal="center"/>
    </xf>
    <xf numFmtId="0" fontId="2" fillId="0" borderId="0" xfId="0" applyFont="1" applyBorder="1" applyAlignment="1">
      <alignment horizontal="right"/>
    </xf>
    <xf numFmtId="0" fontId="22" fillId="0" borderId="0" xfId="0" applyFont="1" applyAlignment="1">
      <alignment horizontal="right"/>
    </xf>
    <xf numFmtId="2" fontId="2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7" borderId="15" xfId="0" applyFill="1" applyBorder="1" applyAlignment="1">
      <alignment horizontal="right"/>
    </xf>
    <xf numFmtId="2" fontId="0" fillId="7" borderId="0" xfId="0" applyNumberFormat="1" applyFill="1"/>
    <xf numFmtId="2" fontId="0" fillId="7" borderId="15" xfId="0" applyNumberFormat="1" applyFill="1" applyBorder="1"/>
    <xf numFmtId="0" fontId="0" fillId="8" borderId="15" xfId="0" applyFill="1" applyBorder="1" applyAlignment="1">
      <alignment horizontal="right"/>
    </xf>
    <xf numFmtId="2" fontId="0" fillId="0" borderId="0" xfId="0" applyNumberFormat="1" applyFill="1" applyBorder="1"/>
    <xf numFmtId="2" fontId="25" fillId="0" borderId="0" xfId="0" applyNumberFormat="1" applyFont="1" applyBorder="1" applyAlignment="1">
      <alignment horizontal="left"/>
    </xf>
    <xf numFmtId="169" fontId="3" fillId="0" borderId="0" xfId="0" applyNumberFormat="1" applyFont="1" applyFill="1" applyBorder="1" applyAlignment="1"/>
    <xf numFmtId="0" fontId="27" fillId="0" borderId="0" xfId="0" applyFont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2" fontId="27" fillId="0" borderId="0" xfId="0" applyNumberFormat="1" applyFont="1" applyAlignment="1">
      <alignment vertical="center"/>
    </xf>
    <xf numFmtId="2" fontId="27" fillId="0" borderId="15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right"/>
    </xf>
    <xf numFmtId="2" fontId="2" fillId="9" borderId="22" xfId="0" applyNumberFormat="1" applyFont="1" applyFill="1" applyBorder="1" applyAlignment="1">
      <alignment horizontal="right"/>
    </xf>
    <xf numFmtId="2" fontId="2" fillId="9" borderId="23" xfId="0" applyNumberFormat="1" applyFont="1" applyFill="1" applyBorder="1" applyAlignment="1">
      <alignment horizontal="right"/>
    </xf>
    <xf numFmtId="2" fontId="3" fillId="9" borderId="23" xfId="0" applyNumberFormat="1" applyFont="1" applyFill="1" applyBorder="1"/>
    <xf numFmtId="3" fontId="0" fillId="0" borderId="0" xfId="0" applyNumberFormat="1" applyFill="1"/>
    <xf numFmtId="3" fontId="0" fillId="0" borderId="15" xfId="0" applyNumberFormat="1" applyBorder="1"/>
    <xf numFmtId="2" fontId="3" fillId="8" borderId="3" xfId="0" applyNumberFormat="1" applyFont="1" applyFill="1" applyBorder="1" applyAlignment="1" applyProtection="1">
      <alignment horizontal="center"/>
      <protection locked="0"/>
    </xf>
    <xf numFmtId="0" fontId="13" fillId="8" borderId="3" xfId="0" applyFont="1" applyFill="1" applyBorder="1" applyAlignment="1" applyProtection="1">
      <alignment horizontal="center"/>
      <protection locked="0"/>
    </xf>
    <xf numFmtId="0" fontId="3" fillId="8" borderId="3" xfId="0" applyFont="1" applyFill="1" applyBorder="1" applyAlignment="1" applyProtection="1">
      <alignment horizontal="center"/>
      <protection locked="0"/>
    </xf>
    <xf numFmtId="166" fontId="3" fillId="8" borderId="3" xfId="0" applyNumberFormat="1" applyFont="1" applyFill="1" applyBorder="1" applyAlignment="1" applyProtection="1">
      <alignment horizontal="center"/>
      <protection locked="0"/>
    </xf>
    <xf numFmtId="1" fontId="3" fillId="8" borderId="3" xfId="0" applyNumberFormat="1" applyFont="1" applyFill="1" applyBorder="1" applyAlignment="1" applyProtection="1">
      <alignment horizontal="center"/>
      <protection locked="0"/>
    </xf>
    <xf numFmtId="165" fontId="0" fillId="0" borderId="7" xfId="0" applyNumberFormat="1" applyBorder="1"/>
    <xf numFmtId="164" fontId="2" fillId="4" borderId="0" xfId="0" applyNumberFormat="1" applyFont="1" applyFill="1" applyBorder="1"/>
    <xf numFmtId="164" fontId="2" fillId="4" borderId="11" xfId="0" applyNumberFormat="1" applyFont="1" applyFill="1" applyBorder="1"/>
    <xf numFmtId="1" fontId="0" fillId="0" borderId="0" xfId="0" applyNumberFormat="1" applyBorder="1"/>
    <xf numFmtId="164" fontId="0" fillId="7" borderId="0" xfId="0" applyNumberFormat="1" applyFill="1"/>
    <xf numFmtId="164" fontId="0" fillId="7" borderId="7" xfId="0" applyNumberFormat="1" applyFill="1" applyBorder="1"/>
    <xf numFmtId="164" fontId="0" fillId="8" borderId="0" xfId="0" applyNumberFormat="1" applyFill="1"/>
    <xf numFmtId="164" fontId="0" fillId="8" borderId="7" xfId="0" applyNumberFormat="1" applyFill="1" applyBorder="1"/>
    <xf numFmtId="164" fontId="0" fillId="7" borderId="0" xfId="0" applyNumberFormat="1" applyFill="1" applyBorder="1"/>
    <xf numFmtId="164" fontId="3" fillId="4" borderId="12" xfId="0" applyNumberFormat="1" applyFont="1" applyFill="1" applyBorder="1" applyAlignment="1"/>
    <xf numFmtId="164" fontId="3" fillId="4" borderId="13" xfId="0" applyNumberFormat="1" applyFont="1" applyFill="1" applyBorder="1" applyAlignment="1"/>
    <xf numFmtId="164" fontId="3" fillId="4" borderId="19" xfId="0" applyNumberFormat="1" applyFont="1" applyFill="1" applyBorder="1" applyAlignment="1"/>
    <xf numFmtId="164" fontId="3" fillId="4" borderId="24" xfId="0" applyNumberFormat="1" applyFont="1" applyFill="1" applyBorder="1" applyAlignment="1"/>
    <xf numFmtId="164" fontId="2" fillId="4" borderId="21" xfId="0" applyNumberFormat="1" applyFont="1" applyFill="1" applyBorder="1"/>
    <xf numFmtId="164" fontId="2" fillId="4" borderId="8" xfId="0" applyNumberFormat="1" applyFont="1" applyFill="1" applyBorder="1" applyAlignment="1"/>
    <xf numFmtId="164" fontId="2" fillId="4" borderId="11" xfId="0" applyNumberFormat="1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2" fontId="0" fillId="0" borderId="30" xfId="0" applyNumberFormat="1" applyBorder="1"/>
    <xf numFmtId="2" fontId="0" fillId="0" borderId="28" xfId="0" applyNumberFormat="1" applyBorder="1"/>
    <xf numFmtId="2" fontId="0" fillId="0" borderId="29" xfId="0" applyNumberFormat="1" applyFill="1" applyBorder="1"/>
    <xf numFmtId="0" fontId="0" fillId="0" borderId="25" xfId="0" applyBorder="1"/>
    <xf numFmtId="0" fontId="0" fillId="0" borderId="26" xfId="0" applyBorder="1"/>
    <xf numFmtId="2" fontId="0" fillId="0" borderId="27" xfId="0" applyNumberFormat="1" applyBorder="1"/>
    <xf numFmtId="10" fontId="0" fillId="0" borderId="0" xfId="0" applyNumberFormat="1"/>
    <xf numFmtId="164" fontId="3" fillId="4" borderId="2" xfId="0" applyNumberFormat="1" applyFont="1" applyFill="1" applyBorder="1" applyAlignment="1"/>
    <xf numFmtId="164" fontId="3" fillId="4" borderId="14" xfId="0" applyNumberFormat="1" applyFont="1" applyFill="1" applyBorder="1" applyAlignment="1"/>
    <xf numFmtId="0" fontId="3" fillId="10" borderId="33" xfId="0" applyFont="1" applyFill="1" applyBorder="1" applyAlignment="1">
      <alignment horizontal="right" vertical="center"/>
    </xf>
    <xf numFmtId="166" fontId="3" fillId="10" borderId="34" xfId="0" applyNumberFormat="1" applyFont="1" applyFill="1" applyBorder="1" applyAlignment="1">
      <alignment horizontal="right"/>
    </xf>
    <xf numFmtId="0" fontId="3" fillId="10" borderId="35" xfId="0" applyFont="1" applyFill="1" applyBorder="1" applyAlignment="1">
      <alignment horizontal="right" vertical="center"/>
    </xf>
    <xf numFmtId="166" fontId="3" fillId="10" borderId="5" xfId="0" applyNumberFormat="1" applyFont="1" applyFill="1" applyBorder="1"/>
    <xf numFmtId="0" fontId="3" fillId="10" borderId="37" xfId="0" applyFont="1" applyFill="1" applyBorder="1" applyAlignment="1">
      <alignment horizontal="right"/>
    </xf>
    <xf numFmtId="2" fontId="3" fillId="10" borderId="38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2" fontId="25" fillId="0" borderId="0" xfId="0" applyNumberFormat="1" applyFont="1" applyFill="1" applyBorder="1" applyAlignment="1">
      <alignment horizontal="left"/>
    </xf>
    <xf numFmtId="166" fontId="25" fillId="0" borderId="0" xfId="0" applyNumberFormat="1" applyFont="1" applyFill="1" applyAlignment="1">
      <alignment horizontal="left"/>
    </xf>
    <xf numFmtId="2" fontId="18" fillId="0" borderId="17" xfId="0" applyNumberFormat="1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2" fontId="29" fillId="0" borderId="33" xfId="0" applyNumberFormat="1" applyFont="1" applyBorder="1" applyAlignment="1">
      <alignment horizontal="center"/>
    </xf>
    <xf numFmtId="166" fontId="18" fillId="0" borderId="17" xfId="0" applyNumberFormat="1" applyFont="1" applyBorder="1" applyAlignment="1">
      <alignment horizontal="center"/>
    </xf>
    <xf numFmtId="0" fontId="2" fillId="0" borderId="17" xfId="0" applyFont="1" applyBorder="1"/>
    <xf numFmtId="0" fontId="2" fillId="4" borderId="0" xfId="0" applyFont="1" applyFill="1" applyBorder="1" applyAlignment="1">
      <alignment horizontal="right"/>
    </xf>
    <xf numFmtId="0" fontId="3" fillId="4" borderId="34" xfId="0" applyFont="1" applyFill="1" applyBorder="1" applyAlignment="1">
      <alignment horizontal="right"/>
    </xf>
    <xf numFmtId="2" fontId="2" fillId="4" borderId="0" xfId="0" applyNumberFormat="1" applyFont="1" applyFill="1" applyBorder="1" applyAlignment="1">
      <alignment horizontal="right"/>
    </xf>
    <xf numFmtId="0" fontId="2" fillId="4" borderId="40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right"/>
    </xf>
    <xf numFmtId="0" fontId="3" fillId="4" borderId="41" xfId="0" applyFont="1" applyFill="1" applyBorder="1" applyAlignment="1">
      <alignment horizontal="right"/>
    </xf>
    <xf numFmtId="0" fontId="29" fillId="0" borderId="18" xfId="0" applyFont="1" applyBorder="1" applyAlignment="1">
      <alignment horizontal="center"/>
    </xf>
    <xf numFmtId="167" fontId="29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 applyProtection="1">
      <alignment horizontal="left" indent="1"/>
    </xf>
    <xf numFmtId="166" fontId="2" fillId="0" borderId="0" xfId="0" applyNumberFormat="1" applyFont="1" applyFill="1" applyBorder="1" applyAlignment="1" applyProtection="1">
      <alignment horizontal="left" indent="1"/>
    </xf>
    <xf numFmtId="2" fontId="2" fillId="0" borderId="0" xfId="0" applyNumberFormat="1" applyFont="1" applyFill="1" applyBorder="1" applyAlignment="1" applyProtection="1">
      <alignment horizontal="left" indent="1"/>
    </xf>
    <xf numFmtId="0" fontId="0" fillId="0" borderId="0" xfId="0" applyFont="1" applyAlignment="1">
      <alignment horizontal="right"/>
    </xf>
    <xf numFmtId="0" fontId="3" fillId="4" borderId="32" xfId="0" applyFont="1" applyFill="1" applyBorder="1" applyAlignment="1">
      <alignment horizontal="right"/>
    </xf>
    <xf numFmtId="2" fontId="0" fillId="7" borderId="0" xfId="0" applyNumberFormat="1" applyFill="1" applyBorder="1"/>
    <xf numFmtId="2" fontId="0" fillId="8" borderId="0" xfId="0" applyNumberFormat="1" applyFill="1" applyBorder="1"/>
    <xf numFmtId="2" fontId="0" fillId="7" borderId="7" xfId="0" applyNumberFormat="1" applyFill="1" applyBorder="1"/>
    <xf numFmtId="2" fontId="0" fillId="8" borderId="7" xfId="0" applyNumberFormat="1" applyFill="1" applyBorder="1"/>
    <xf numFmtId="0" fontId="2" fillId="0" borderId="0" xfId="0" applyFont="1" applyAlignment="1">
      <alignment horizontal="left" vertical="center" indent="1"/>
    </xf>
    <xf numFmtId="0" fontId="3" fillId="10" borderId="24" xfId="0" applyFont="1" applyFill="1" applyBorder="1" applyAlignment="1">
      <alignment horizontal="right"/>
    </xf>
    <xf numFmtId="0" fontId="3" fillId="10" borderId="36" xfId="0" applyFont="1" applyFill="1" applyBorder="1" applyAlignment="1">
      <alignment horizontal="right"/>
    </xf>
    <xf numFmtId="0" fontId="3" fillId="10" borderId="39" xfId="0" applyFont="1" applyFill="1" applyBorder="1" applyAlignment="1">
      <alignment horizontal="right"/>
    </xf>
    <xf numFmtId="0" fontId="3" fillId="8" borderId="4" xfId="0" applyFont="1" applyFill="1" applyBorder="1" applyAlignment="1">
      <alignment horizontal="center"/>
    </xf>
    <xf numFmtId="0" fontId="1" fillId="8" borderId="6" xfId="0" applyFont="1" applyFill="1" applyBorder="1" applyAlignme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7">
    <cellStyle name="Comma0" xfId="2"/>
    <cellStyle name="Currency0" xfId="3"/>
    <cellStyle name="Date" xfId="4"/>
    <cellStyle name="Fixed" xfId="5"/>
    <cellStyle name="Normal" xfId="0" builtinId="0"/>
    <cellStyle name="Normal 2" xfId="1"/>
    <cellStyle name="Normal 2 2" xfId="6"/>
  </cellStyles>
  <dxfs count="0"/>
  <tableStyles count="0" defaultTableStyle="TableStyleMedium2" defaultPivotStyle="PivotStyleLight16"/>
  <colors>
    <mruColors>
      <color rgb="FFFFFFCC"/>
      <color rgb="FFCCECFF"/>
      <color rgb="FFCCFFCC"/>
      <color rgb="FFFFFF99"/>
      <color rgb="FF0099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Water</a:t>
            </a:r>
            <a:r>
              <a:rPr lang="en-US" sz="1800" baseline="0">
                <a:solidFill>
                  <a:sysClr val="windowText" lastClr="000000"/>
                </a:solidFill>
              </a:rPr>
              <a:t> Use</a:t>
            </a:r>
            <a:endParaRPr lang="en-US" sz="18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298263342082240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22725284339459"/>
          <c:y val="0.14261592300962381"/>
          <c:w val="0.82075196850393706"/>
          <c:h val="0.73278506853309999"/>
        </c:manualLayout>
      </c:layout>
      <c:lineChart>
        <c:grouping val="standard"/>
        <c:varyColors val="0"/>
        <c:ser>
          <c:idx val="0"/>
          <c:order val="0"/>
          <c:tx>
            <c:strRef>
              <c:f>'Monthly Calcs'!$U$17</c:f>
              <c:strCache>
                <c:ptCount val="1"/>
                <c:pt idx="0">
                  <c:v>RD Avg (44.9 gpd)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Calcs'!$H$4:$H$15</c:f>
              <c:numCache>
                <c:formatCode>0.00</c:formatCode>
                <c:ptCount val="12"/>
                <c:pt idx="0">
                  <c:v>48.930011488921139</c:v>
                </c:pt>
                <c:pt idx="1">
                  <c:v>48.853338271340107</c:v>
                </c:pt>
                <c:pt idx="2">
                  <c:v>47.979047164046264</c:v>
                </c:pt>
                <c:pt idx="3">
                  <c:v>46.347598676916512</c:v>
                </c:pt>
                <c:pt idx="4">
                  <c:v>44.157359220272767</c:v>
                </c:pt>
                <c:pt idx="5">
                  <c:v>41.910518936883399</c:v>
                </c:pt>
                <c:pt idx="6">
                  <c:v>40.422737281459817</c:v>
                </c:pt>
                <c:pt idx="7">
                  <c:v>40.435822485658562</c:v>
                </c:pt>
                <c:pt idx="8">
                  <c:v>41.939840988846143</c:v>
                </c:pt>
                <c:pt idx="9">
                  <c:v>44.196666909852119</c:v>
                </c:pt>
                <c:pt idx="10">
                  <c:v>46.380161987667407</c:v>
                </c:pt>
                <c:pt idx="11">
                  <c:v>47.996525610646763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'Monthly Calcs'!$U$18</c:f>
              <c:strCache>
                <c:ptCount val="1"/>
                <c:pt idx="0">
                  <c:v>PD Avg (38.5 gpd)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Calcs'!$I$4:$I$15</c:f>
              <c:numCache>
                <c:formatCode>0.00</c:formatCode>
                <c:ptCount val="12"/>
                <c:pt idx="0">
                  <c:v>41.767445189734367</c:v>
                </c:pt>
                <c:pt idx="1">
                  <c:v>41.704258219080437</c:v>
                </c:pt>
                <c:pt idx="2">
                  <c:v>40.983748394627284</c:v>
                </c:pt>
                <c:pt idx="3">
                  <c:v>39.639259524433214</c:v>
                </c:pt>
                <c:pt idx="4">
                  <c:v>37.834266847221436</c:v>
                </c:pt>
                <c:pt idx="5">
                  <c:v>35.982629006399776</c:v>
                </c:pt>
                <c:pt idx="6">
                  <c:v>34.756537044087736</c:v>
                </c:pt>
                <c:pt idx="7">
                  <c:v>34.767320658494334</c:v>
                </c:pt>
                <c:pt idx="8">
                  <c:v>36.00679352818895</c:v>
                </c:pt>
                <c:pt idx="9">
                  <c:v>37.866660607471545</c:v>
                </c:pt>
                <c:pt idx="10">
                  <c:v>39.666095191772158</c:v>
                </c:pt>
                <c:pt idx="11">
                  <c:v>40.998152512874377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'Monthly Calcs'!$AA$4:$AA$15</c:f>
              <c:numCache>
                <c:formatCode>0.00</c:formatCode>
                <c:ptCount val="12"/>
                <c:pt idx="0">
                  <c:v>44.939453052858923</c:v>
                </c:pt>
                <c:pt idx="1">
                  <c:v>44.939453052858923</c:v>
                </c:pt>
                <c:pt idx="2">
                  <c:v>44.939453052858923</c:v>
                </c:pt>
                <c:pt idx="3">
                  <c:v>44.939453052858923</c:v>
                </c:pt>
                <c:pt idx="4">
                  <c:v>44.939453052858923</c:v>
                </c:pt>
                <c:pt idx="5">
                  <c:v>44.939453052858923</c:v>
                </c:pt>
                <c:pt idx="6">
                  <c:v>44.939453052858923</c:v>
                </c:pt>
                <c:pt idx="7">
                  <c:v>44.939453052858923</c:v>
                </c:pt>
                <c:pt idx="8">
                  <c:v>44.939453052858923</c:v>
                </c:pt>
                <c:pt idx="9">
                  <c:v>44.939453052858923</c:v>
                </c:pt>
                <c:pt idx="10">
                  <c:v>44.939453052858923</c:v>
                </c:pt>
                <c:pt idx="11">
                  <c:v>44.939453052858923</c:v>
                </c:pt>
              </c:numCache>
            </c:numRef>
          </c:val>
          <c:smooth val="0"/>
        </c:ser>
        <c:ser>
          <c:idx val="3"/>
          <c:order val="3"/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'Monthly Calcs'!$AB$4:$AB$15</c:f>
              <c:numCache>
                <c:formatCode>0.00</c:formatCode>
                <c:ptCount val="12"/>
                <c:pt idx="0">
                  <c:v>38.478796209720336</c:v>
                </c:pt>
                <c:pt idx="1">
                  <c:v>38.478796209720336</c:v>
                </c:pt>
                <c:pt idx="2">
                  <c:v>38.478796209720336</c:v>
                </c:pt>
                <c:pt idx="3">
                  <c:v>38.478796209720336</c:v>
                </c:pt>
                <c:pt idx="4">
                  <c:v>38.478796209720336</c:v>
                </c:pt>
                <c:pt idx="5">
                  <c:v>38.478796209720336</c:v>
                </c:pt>
                <c:pt idx="6">
                  <c:v>38.478796209720336</c:v>
                </c:pt>
                <c:pt idx="7">
                  <c:v>38.478796209720336</c:v>
                </c:pt>
                <c:pt idx="8">
                  <c:v>38.478796209720336</c:v>
                </c:pt>
                <c:pt idx="9">
                  <c:v>38.478796209720336</c:v>
                </c:pt>
                <c:pt idx="10">
                  <c:v>38.478796209720336</c:v>
                </c:pt>
                <c:pt idx="11">
                  <c:v>38.478796209720336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496120"/>
        <c:axId val="545498080"/>
      </c:lineChart>
      <c:catAx>
        <c:axId val="545496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498080"/>
        <c:crosses val="autoZero"/>
        <c:auto val="1"/>
        <c:lblAlgn val="ctr"/>
        <c:lblOffset val="100"/>
        <c:tickMarkSkip val="1"/>
        <c:noMultiLvlLbl val="0"/>
      </c:catAx>
      <c:valAx>
        <c:axId val="5454980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gallons per 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496120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7715244969378825"/>
          <c:y val="0.14172389909594635"/>
          <c:w val="0.33118088363954507"/>
          <c:h val="0.1608807232429279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-0.48147222222222225"/>
                  <c:y val="8.5012558914006713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gpd!$A$15:$A$23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gpd!$P$15:$P$23</c:f>
              <c:numCache>
                <c:formatCode>0.0</c:formatCode>
                <c:ptCount val="9"/>
                <c:pt idx="0">
                  <c:v>35.86</c:v>
                </c:pt>
                <c:pt idx="1">
                  <c:v>47.739999999999995</c:v>
                </c:pt>
                <c:pt idx="2">
                  <c:v>59.61999999999999</c:v>
                </c:pt>
                <c:pt idx="3">
                  <c:v>71.5</c:v>
                </c:pt>
                <c:pt idx="4">
                  <c:v>83.38</c:v>
                </c:pt>
                <c:pt idx="5">
                  <c:v>95.26</c:v>
                </c:pt>
                <c:pt idx="6">
                  <c:v>107.14</c:v>
                </c:pt>
                <c:pt idx="7">
                  <c:v>119.02000000000001</c:v>
                </c:pt>
                <c:pt idx="8">
                  <c:v>130.9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501216"/>
        <c:axId val="544504168"/>
      </c:scatterChart>
      <c:valAx>
        <c:axId val="545501216"/>
        <c:scaling>
          <c:orientation val="minMax"/>
          <c:max val="9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Bedrooms (Nbr)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4504168"/>
        <c:crosses val="autoZero"/>
        <c:crossBetween val="midCat"/>
        <c:majorUnit val="1"/>
        <c:minorUnit val="0.5"/>
      </c:valAx>
      <c:valAx>
        <c:axId val="5445041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normailzed</a:t>
                </a:r>
                <a:r>
                  <a:rPr lang="en-US" baseline="0"/>
                  <a:t> Water Use</a:t>
                </a:r>
                <a:r>
                  <a:rPr lang="en-US"/>
                  <a:t> (gpd)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45501216"/>
        <c:crosses val="autoZero"/>
        <c:crossBetween val="midCat"/>
        <c:majorUnit val="2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Energy</a:t>
            </a:r>
            <a:r>
              <a:rPr lang="en-US" sz="1800" baseline="0">
                <a:solidFill>
                  <a:sysClr val="windowText" lastClr="000000"/>
                </a:solidFill>
              </a:rPr>
              <a:t> Consumption</a:t>
            </a:r>
            <a:endParaRPr lang="en-US" sz="18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169166666666666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89391951006122"/>
          <c:y val="0.13798629337999416"/>
          <c:w val="0.80686307961504811"/>
          <c:h val="0.73278506853309999"/>
        </c:manualLayout>
      </c:layout>
      <c:lineChart>
        <c:grouping val="standard"/>
        <c:varyColors val="0"/>
        <c:ser>
          <c:idx val="0"/>
          <c:order val="0"/>
          <c:tx>
            <c:strRef>
              <c:f>'Monthly Calcs'!$Y$17</c:f>
              <c:strCache>
                <c:ptCount val="1"/>
                <c:pt idx="0">
                  <c:v>RD Tot (2215 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Calcs'!$Y$4:$Y$15</c:f>
              <c:numCache>
                <c:formatCode>0.0</c:formatCode>
                <c:ptCount val="12"/>
                <c:pt idx="0">
                  <c:v>240.32096463972709</c:v>
                </c:pt>
                <c:pt idx="1">
                  <c:v>215.87916766201874</c:v>
                </c:pt>
                <c:pt idx="2">
                  <c:v>224.74231652799114</c:v>
                </c:pt>
                <c:pt idx="3">
                  <c:v>194.64035390902396</c:v>
                </c:pt>
                <c:pt idx="4">
                  <c:v>174.39868526164449</c:v>
                </c:pt>
                <c:pt idx="5">
                  <c:v>146.66129164299841</c:v>
                </c:pt>
                <c:pt idx="6">
                  <c:v>138.43113979665412</c:v>
                </c:pt>
                <c:pt idx="7">
                  <c:v>138.54046364305222</c:v>
                </c:pt>
                <c:pt idx="8">
                  <c:v>146.92578481976813</c:v>
                </c:pt>
                <c:pt idx="9">
                  <c:v>174.83598064723705</c:v>
                </c:pt>
                <c:pt idx="10">
                  <c:v>195.06354299185546</c:v>
                </c:pt>
                <c:pt idx="11">
                  <c:v>225.01562614398651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'Monthly Calcs'!$Y$18</c:f>
              <c:strCache>
                <c:ptCount val="1"/>
                <c:pt idx="0">
                  <c:v>PD Tot (1858 kWh)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Calcs'!$Z$4:$Z$15</c:f>
              <c:numCache>
                <c:formatCode>0.0</c:formatCode>
                <c:ptCount val="12"/>
                <c:pt idx="0">
                  <c:v>201.03900581324206</c:v>
                </c:pt>
                <c:pt idx="1">
                  <c:v>180.60217077175849</c:v>
                </c:pt>
                <c:pt idx="2">
                  <c:v>188.13560161504989</c:v>
                </c:pt>
                <c:pt idx="3">
                  <c:v>163.13879744200412</c:v>
                </c:pt>
                <c:pt idx="4">
                  <c:v>146.43723225878688</c:v>
                </c:pt>
                <c:pt idx="5">
                  <c:v>123.39894138848881</c:v>
                </c:pt>
                <c:pt idx="6">
                  <c:v>116.6462148468205</c:v>
                </c:pt>
                <c:pt idx="7">
                  <c:v>116.7367650517201</c:v>
                </c:pt>
                <c:pt idx="8">
                  <c:v>123.61801446485877</c:v>
                </c:pt>
                <c:pt idx="9">
                  <c:v>146.79943307838528</c:v>
                </c:pt>
                <c:pt idx="10">
                  <c:v>163.4893143641961</c:v>
                </c:pt>
                <c:pt idx="11">
                  <c:v>188.36197712729887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498864"/>
        <c:axId val="545499256"/>
      </c:lineChart>
      <c:catAx>
        <c:axId val="54549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499256"/>
        <c:crosses val="autoZero"/>
        <c:auto val="1"/>
        <c:lblAlgn val="ctr"/>
        <c:lblOffset val="100"/>
        <c:tickMarkSkip val="1"/>
        <c:noMultiLvlLbl val="0"/>
      </c:catAx>
      <c:valAx>
        <c:axId val="54549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strRef>
              <c:f>'Monthly Calcs'!$Z$3</c:f>
              <c:strCache>
                <c:ptCount val="1"/>
                <c:pt idx="0">
                  <c:v>kWh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498864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36048578302712159"/>
          <c:y val="0.14172404059921084"/>
          <c:w val="0.37562532808398952"/>
          <c:h val="0.1562510936132983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Reference Design</a:t>
            </a:r>
          </a:p>
        </c:rich>
      </c:tx>
      <c:layout>
        <c:manualLayout>
          <c:xMode val="edge"/>
          <c:yMode val="edge"/>
          <c:x val="0.2841944444444444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0.12541666666666668"/>
          <c:w val="0.67619203849518805"/>
          <c:h val="0.76718394575678039"/>
        </c:manualLayout>
      </c:layout>
      <c:areaChart>
        <c:grouping val="stacked"/>
        <c:varyColors val="0"/>
        <c:ser>
          <c:idx val="0"/>
          <c:order val="0"/>
          <c:tx>
            <c:v>refCWgpd</c:v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Calcs'!$T$4:$T$15</c:f>
              <c:numCache>
                <c:formatCode>0.00</c:formatCode>
                <c:ptCount val="12"/>
                <c:pt idx="0">
                  <c:v>3.888566185718028</c:v>
                </c:pt>
                <c:pt idx="1">
                  <c:v>3.888566185718028</c:v>
                </c:pt>
                <c:pt idx="2">
                  <c:v>3.888566185718028</c:v>
                </c:pt>
                <c:pt idx="3">
                  <c:v>3.888566185718028</c:v>
                </c:pt>
                <c:pt idx="4">
                  <c:v>3.888566185718028</c:v>
                </c:pt>
                <c:pt idx="5">
                  <c:v>3.888566185718028</c:v>
                </c:pt>
                <c:pt idx="6">
                  <c:v>3.888566185718028</c:v>
                </c:pt>
                <c:pt idx="7">
                  <c:v>3.888566185718028</c:v>
                </c:pt>
                <c:pt idx="8">
                  <c:v>3.888566185718028</c:v>
                </c:pt>
                <c:pt idx="9">
                  <c:v>3.888566185718028</c:v>
                </c:pt>
                <c:pt idx="10">
                  <c:v>3.888566185718028</c:v>
                </c:pt>
                <c:pt idx="11">
                  <c:v>3.888566185718028</c:v>
                </c:pt>
              </c:numCache>
            </c:numRef>
          </c:val>
        </c:ser>
        <c:ser>
          <c:idx val="1"/>
          <c:order val="1"/>
          <c:tx>
            <c:v>refDWgpd</c:v>
          </c:tx>
          <c:spPr>
            <a:solidFill>
              <a:schemeClr val="accent6">
                <a:lumMod val="40000"/>
                <a:lumOff val="60000"/>
              </a:schemeClr>
            </a:solidFill>
            <a:ln w="9525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Calcs'!$V$4:$V$15</c:f>
              <c:numCache>
                <c:formatCode>0.00</c:formatCode>
                <c:ptCount val="12"/>
                <c:pt idx="0">
                  <c:v>4.3169753424657529</c:v>
                </c:pt>
                <c:pt idx="1">
                  <c:v>4.3169753424657529</c:v>
                </c:pt>
                <c:pt idx="2">
                  <c:v>4.3169753424657529</c:v>
                </c:pt>
                <c:pt idx="3">
                  <c:v>4.3169753424657529</c:v>
                </c:pt>
                <c:pt idx="4">
                  <c:v>4.3169753424657529</c:v>
                </c:pt>
                <c:pt idx="5">
                  <c:v>4.3169753424657529</c:v>
                </c:pt>
                <c:pt idx="6">
                  <c:v>4.3169753424657529</c:v>
                </c:pt>
                <c:pt idx="7">
                  <c:v>4.3169753424657529</c:v>
                </c:pt>
                <c:pt idx="8">
                  <c:v>4.3169753424657529</c:v>
                </c:pt>
                <c:pt idx="9">
                  <c:v>4.3169753424657529</c:v>
                </c:pt>
                <c:pt idx="10">
                  <c:v>4.3169753424657529</c:v>
                </c:pt>
                <c:pt idx="11">
                  <c:v>4.3169753424657529</c:v>
                </c:pt>
              </c:numCache>
            </c:numRef>
          </c:val>
        </c:ser>
        <c:ser>
          <c:idx val="2"/>
          <c:order val="2"/>
          <c:tx>
            <c:v>refWgpd</c:v>
          </c:tx>
          <c:spPr>
            <a:solidFill>
              <a:schemeClr val="accent3">
                <a:lumMod val="75000"/>
              </a:schemeClr>
            </a:solidFill>
            <a:ln w="9525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Calcs'!$R$4:$R$15</c:f>
              <c:numCache>
                <c:formatCode>0.00</c:formatCode>
                <c:ptCount val="12"/>
                <c:pt idx="0">
                  <c:v>10.612045078489507</c:v>
                </c:pt>
                <c:pt idx="1">
                  <c:v>10.592065453412319</c:v>
                </c:pt>
                <c:pt idx="2">
                  <c:v>10.364241330685376</c:v>
                </c:pt>
                <c:pt idx="3">
                  <c:v>9.9391159722621474</c:v>
                </c:pt>
                <c:pt idx="4">
                  <c:v>9.3683800027333017</c:v>
                </c:pt>
                <c:pt idx="5">
                  <c:v>8.7828949026329983</c:v>
                </c:pt>
                <c:pt idx="6">
                  <c:v>8.3952064683936705</c:v>
                </c:pt>
                <c:pt idx="7">
                  <c:v>8.3986162310487096</c:v>
                </c:pt>
                <c:pt idx="8">
                  <c:v>8.7905356880753249</c:v>
                </c:pt>
                <c:pt idx="9">
                  <c:v>9.3786228609988491</c:v>
                </c:pt>
                <c:pt idx="10">
                  <c:v>9.9476013699094707</c:v>
                </c:pt>
                <c:pt idx="11">
                  <c:v>10.368795891208945</c:v>
                </c:pt>
              </c:numCache>
            </c:numRef>
          </c:val>
        </c:ser>
        <c:ser>
          <c:idx val="3"/>
          <c:order val="3"/>
          <c:tx>
            <c:v>refFgpd</c:v>
          </c:tx>
          <c:spPr>
            <a:solidFill>
              <a:schemeClr val="accent3">
                <a:lumMod val="40000"/>
                <a:lumOff val="60000"/>
              </a:schemeClr>
            </a:solidFill>
            <a:ln w="6350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Calcs'!$L$4:$L$15</c:f>
              <c:numCache>
                <c:formatCode>0.00</c:formatCode>
                <c:ptCount val="12"/>
                <c:pt idx="0">
                  <c:v>30.112424882247851</c:v>
                </c:pt>
                <c:pt idx="1">
                  <c:v>30.05573128974401</c:v>
                </c:pt>
                <c:pt idx="2">
                  <c:v>29.409264305177111</c:v>
                </c:pt>
                <c:pt idx="3">
                  <c:v>28.202941176470588</c:v>
                </c:pt>
                <c:pt idx="4">
                  <c:v>26.583437689355687</c:v>
                </c:pt>
                <c:pt idx="5">
                  <c:v>24.922082506066623</c:v>
                </c:pt>
                <c:pt idx="6">
                  <c:v>23.821989284882367</c:v>
                </c:pt>
                <c:pt idx="7">
                  <c:v>23.831664726426077</c:v>
                </c:pt>
                <c:pt idx="8">
                  <c:v>24.94376377258704</c:v>
                </c:pt>
                <c:pt idx="9">
                  <c:v>26.612502520669494</c:v>
                </c:pt>
                <c:pt idx="10">
                  <c:v>28.227019089574156</c:v>
                </c:pt>
                <c:pt idx="11">
                  <c:v>29.42218819125404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501608"/>
        <c:axId val="545502000"/>
      </c:areaChart>
      <c:catAx>
        <c:axId val="54550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02000"/>
        <c:crosses val="autoZero"/>
        <c:auto val="1"/>
        <c:lblAlgn val="ctr"/>
        <c:lblOffset val="100"/>
        <c:noMultiLvlLbl val="0"/>
      </c:catAx>
      <c:valAx>
        <c:axId val="54550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Gallons per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01608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Proposed</a:t>
            </a:r>
            <a:r>
              <a:rPr lang="en-US" sz="1800" baseline="0"/>
              <a:t> Design</a:t>
            </a:r>
            <a:endParaRPr lang="en-US" sz="1800"/>
          </a:p>
        </c:rich>
      </c:tx>
      <c:layout>
        <c:manualLayout>
          <c:xMode val="edge"/>
          <c:yMode val="edge"/>
          <c:x val="0.3019652230971128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0.12541666666666668"/>
          <c:w val="0.67619203849518805"/>
          <c:h val="0.76718394575678039"/>
        </c:manualLayout>
      </c:layout>
      <c:areaChart>
        <c:grouping val="stacked"/>
        <c:varyColors val="0"/>
        <c:ser>
          <c:idx val="0"/>
          <c:order val="0"/>
          <c:tx>
            <c:v>CWgpd</c:v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Calcs'!$U$4:$U$15</c:f>
              <c:numCache>
                <c:formatCode>0.00</c:formatCode>
                <c:ptCount val="12"/>
                <c:pt idx="0">
                  <c:v>3.8887507850298402</c:v>
                </c:pt>
                <c:pt idx="1">
                  <c:v>3.8887507850298402</c:v>
                </c:pt>
                <c:pt idx="2">
                  <c:v>3.8887507850298402</c:v>
                </c:pt>
                <c:pt idx="3">
                  <c:v>3.8887507850298402</c:v>
                </c:pt>
                <c:pt idx="4">
                  <c:v>3.8887507850298402</c:v>
                </c:pt>
                <c:pt idx="5">
                  <c:v>3.8887507850298402</c:v>
                </c:pt>
                <c:pt idx="6">
                  <c:v>3.8887507850298402</c:v>
                </c:pt>
                <c:pt idx="7">
                  <c:v>3.8887507850298402</c:v>
                </c:pt>
                <c:pt idx="8">
                  <c:v>3.8887507850298402</c:v>
                </c:pt>
                <c:pt idx="9">
                  <c:v>3.8887507850298402</c:v>
                </c:pt>
                <c:pt idx="10">
                  <c:v>3.8887507850298402</c:v>
                </c:pt>
                <c:pt idx="11">
                  <c:v>3.8887507850298402</c:v>
                </c:pt>
              </c:numCache>
            </c:numRef>
          </c:val>
        </c:ser>
        <c:ser>
          <c:idx val="1"/>
          <c:order val="1"/>
          <c:tx>
            <c:v>DWgpd</c:v>
          </c:tx>
          <c:spPr>
            <a:solidFill>
              <a:schemeClr val="accent6">
                <a:lumMod val="40000"/>
                <a:lumOff val="60000"/>
              </a:schemeClr>
            </a:solidFill>
            <a:ln w="9525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Calcs'!$W$4:$W$15</c:f>
              <c:numCache>
                <c:formatCode>0.00</c:formatCode>
                <c:ptCount val="12"/>
                <c:pt idx="0">
                  <c:v>4.3173548719475869</c:v>
                </c:pt>
                <c:pt idx="1">
                  <c:v>4.3173548719475869</c:v>
                </c:pt>
                <c:pt idx="2">
                  <c:v>4.3173548719475869</c:v>
                </c:pt>
                <c:pt idx="3">
                  <c:v>4.3173548719475869</c:v>
                </c:pt>
                <c:pt idx="4">
                  <c:v>4.3173548719475869</c:v>
                </c:pt>
                <c:pt idx="5">
                  <c:v>4.3173548719475869</c:v>
                </c:pt>
                <c:pt idx="6">
                  <c:v>4.3173548719475869</c:v>
                </c:pt>
                <c:pt idx="7">
                  <c:v>4.3173548719475869</c:v>
                </c:pt>
                <c:pt idx="8">
                  <c:v>4.3173548719475869</c:v>
                </c:pt>
                <c:pt idx="9">
                  <c:v>4.3173548719475869</c:v>
                </c:pt>
                <c:pt idx="10">
                  <c:v>4.3173548719475869</c:v>
                </c:pt>
                <c:pt idx="11">
                  <c:v>4.3173548719475869</c:v>
                </c:pt>
              </c:numCache>
            </c:numRef>
          </c:val>
        </c:ser>
        <c:ser>
          <c:idx val="2"/>
          <c:order val="2"/>
          <c:tx>
            <c:v>Wgpd</c:v>
          </c:tx>
          <c:spPr>
            <a:solidFill>
              <a:schemeClr val="accent3">
                <a:lumMod val="75000"/>
              </a:schemeClr>
            </a:solidFill>
            <a:ln w="9525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Calcs'!$S$4:$S$15</c:f>
              <c:numCache>
                <c:formatCode>0.00</c:formatCode>
                <c:ptCount val="12"/>
                <c:pt idx="0">
                  <c:v>3.4489146505090895</c:v>
                </c:pt>
                <c:pt idx="1">
                  <c:v>3.4424212723590037</c:v>
                </c:pt>
                <c:pt idx="2">
                  <c:v>3.3683784324727473</c:v>
                </c:pt>
                <c:pt idx="3">
                  <c:v>3.2302126909851978</c:v>
                </c:pt>
                <c:pt idx="4">
                  <c:v>3.0447235008883231</c:v>
                </c:pt>
                <c:pt idx="5">
                  <c:v>2.8544408433557247</c:v>
                </c:pt>
                <c:pt idx="6">
                  <c:v>2.7284421022279428</c:v>
                </c:pt>
                <c:pt idx="7">
                  <c:v>2.7295502750908307</c:v>
                </c:pt>
                <c:pt idx="8">
                  <c:v>2.8569240986244808</c:v>
                </c:pt>
                <c:pt idx="9">
                  <c:v>3.0480524298246259</c:v>
                </c:pt>
                <c:pt idx="10">
                  <c:v>3.2329704452205781</c:v>
                </c:pt>
                <c:pt idx="11">
                  <c:v>3.3698586646429072</c:v>
                </c:pt>
              </c:numCache>
            </c:numRef>
          </c:val>
        </c:ser>
        <c:ser>
          <c:idx val="3"/>
          <c:order val="3"/>
          <c:tx>
            <c:v>Fgpd</c:v>
          </c:tx>
          <c:spPr>
            <a:solidFill>
              <a:schemeClr val="accent3">
                <a:lumMod val="40000"/>
                <a:lumOff val="60000"/>
              </a:schemeClr>
            </a:solidFill>
            <a:ln w="6350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Calcs'!$M$4:$M$15</c:f>
              <c:numCache>
                <c:formatCode>0.00</c:formatCode>
                <c:ptCount val="12"/>
                <c:pt idx="0">
                  <c:v>30.112424882247851</c:v>
                </c:pt>
                <c:pt idx="1">
                  <c:v>30.05573128974401</c:v>
                </c:pt>
                <c:pt idx="2">
                  <c:v>29.409264305177111</c:v>
                </c:pt>
                <c:pt idx="3">
                  <c:v>28.202941176470588</c:v>
                </c:pt>
                <c:pt idx="4">
                  <c:v>26.583437689355687</c:v>
                </c:pt>
                <c:pt idx="5">
                  <c:v>24.922082506066623</c:v>
                </c:pt>
                <c:pt idx="6">
                  <c:v>23.821989284882367</c:v>
                </c:pt>
                <c:pt idx="7">
                  <c:v>23.831664726426077</c:v>
                </c:pt>
                <c:pt idx="8">
                  <c:v>24.94376377258704</c:v>
                </c:pt>
                <c:pt idx="9">
                  <c:v>26.612502520669494</c:v>
                </c:pt>
                <c:pt idx="10">
                  <c:v>28.227019089574156</c:v>
                </c:pt>
                <c:pt idx="11">
                  <c:v>29.42218819125404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502784"/>
        <c:axId val="545503176"/>
      </c:areaChart>
      <c:catAx>
        <c:axId val="5455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03176"/>
        <c:crosses val="autoZero"/>
        <c:auto val="1"/>
        <c:lblAlgn val="ctr"/>
        <c:lblOffset val="100"/>
        <c:noMultiLvlLbl val="0"/>
      </c:catAx>
      <c:valAx>
        <c:axId val="54550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Gallons per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02784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Tmains</a:t>
            </a:r>
          </a:p>
        </c:rich>
      </c:tx>
      <c:layout>
        <c:manualLayout>
          <c:xMode val="edge"/>
          <c:yMode val="edge"/>
          <c:x val="0.38503455818022747"/>
          <c:y val="0.75462962962962965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Tmains!$B$2</c:f>
              <c:strCache>
                <c:ptCount val="1"/>
                <c:pt idx="0">
                  <c:v>Jax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Tmains!$B$3:$B$14</c:f>
              <c:numCache>
                <c:formatCode>0.00</c:formatCode>
                <c:ptCount val="12"/>
                <c:pt idx="0">
                  <c:v>64.53</c:v>
                </c:pt>
                <c:pt idx="1">
                  <c:v>64.849999999999994</c:v>
                </c:pt>
                <c:pt idx="2">
                  <c:v>67.5</c:v>
                </c:pt>
                <c:pt idx="3">
                  <c:v>71.790000000000006</c:v>
                </c:pt>
                <c:pt idx="4">
                  <c:v>76.599999999999994</c:v>
                </c:pt>
                <c:pt idx="5">
                  <c:v>80.69</c:v>
                </c:pt>
                <c:pt idx="6">
                  <c:v>82.98</c:v>
                </c:pt>
                <c:pt idx="7">
                  <c:v>82.88</c:v>
                </c:pt>
                <c:pt idx="8">
                  <c:v>80.41</c:v>
                </c:pt>
                <c:pt idx="9">
                  <c:v>76.22</c:v>
                </c:pt>
                <c:pt idx="10">
                  <c:v>71.39</c:v>
                </c:pt>
                <c:pt idx="11">
                  <c:v>67.2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Tmains!$C$2</c:f>
              <c:strCache>
                <c:ptCount val="1"/>
                <c:pt idx="0">
                  <c:v>Tally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Tmains!$C$3:$C$14</c:f>
              <c:numCache>
                <c:formatCode>0.00</c:formatCode>
                <c:ptCount val="12"/>
                <c:pt idx="0">
                  <c:v>63.43</c:v>
                </c:pt>
                <c:pt idx="1">
                  <c:v>63.67</c:v>
                </c:pt>
                <c:pt idx="2">
                  <c:v>66.28</c:v>
                </c:pt>
                <c:pt idx="3">
                  <c:v>70.599999999999994</c:v>
                </c:pt>
                <c:pt idx="4">
                  <c:v>75.489999999999995</c:v>
                </c:pt>
                <c:pt idx="5">
                  <c:v>79.67</c:v>
                </c:pt>
                <c:pt idx="6">
                  <c:v>82.07</c:v>
                </c:pt>
                <c:pt idx="7">
                  <c:v>82.05</c:v>
                </c:pt>
                <c:pt idx="8">
                  <c:v>79.62</c:v>
                </c:pt>
                <c:pt idx="9">
                  <c:v>75.41</c:v>
                </c:pt>
                <c:pt idx="10">
                  <c:v>70.52</c:v>
                </c:pt>
                <c:pt idx="11">
                  <c:v>66.23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Tmains!$D$2</c:f>
              <c:strCache>
                <c:ptCount val="1"/>
                <c:pt idx="0">
                  <c:v>Miami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Tmains!$D$3:$D$14</c:f>
              <c:numCache>
                <c:formatCode>0.00</c:formatCode>
                <c:ptCount val="12"/>
                <c:pt idx="0">
                  <c:v>76.48</c:v>
                </c:pt>
                <c:pt idx="1">
                  <c:v>77.08</c:v>
                </c:pt>
                <c:pt idx="2">
                  <c:v>78.98</c:v>
                </c:pt>
                <c:pt idx="3">
                  <c:v>81.7</c:v>
                </c:pt>
                <c:pt idx="4">
                  <c:v>84.52</c:v>
                </c:pt>
                <c:pt idx="5">
                  <c:v>86.71</c:v>
                </c:pt>
                <c:pt idx="6">
                  <c:v>87.7</c:v>
                </c:pt>
                <c:pt idx="7">
                  <c:v>87.23</c:v>
                </c:pt>
                <c:pt idx="8">
                  <c:v>85.42</c:v>
                </c:pt>
                <c:pt idx="9">
                  <c:v>82.75</c:v>
                </c:pt>
                <c:pt idx="10">
                  <c:v>79.91</c:v>
                </c:pt>
                <c:pt idx="11">
                  <c:v>77.64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Tmains!$E$2</c:f>
              <c:strCache>
                <c:ptCount val="1"/>
                <c:pt idx="0">
                  <c:v>Orlando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Tmains!$E$3:$E$14</c:f>
              <c:numCache>
                <c:formatCode>0.00</c:formatCode>
                <c:ptCount val="12"/>
                <c:pt idx="0">
                  <c:v>69.98</c:v>
                </c:pt>
                <c:pt idx="1">
                  <c:v>70.47</c:v>
                </c:pt>
                <c:pt idx="2">
                  <c:v>72.760000000000005</c:v>
                </c:pt>
                <c:pt idx="3">
                  <c:v>76.260000000000005</c:v>
                </c:pt>
                <c:pt idx="4">
                  <c:v>80.06</c:v>
                </c:pt>
                <c:pt idx="5">
                  <c:v>83.17</c:v>
                </c:pt>
                <c:pt idx="6">
                  <c:v>84.77</c:v>
                </c:pt>
                <c:pt idx="7">
                  <c:v>84.45</c:v>
                </c:pt>
                <c:pt idx="8">
                  <c:v>82.29</c:v>
                </c:pt>
                <c:pt idx="9">
                  <c:v>78.86</c:v>
                </c:pt>
                <c:pt idx="10">
                  <c:v>75.05</c:v>
                </c:pt>
                <c:pt idx="11">
                  <c:v>71.849999999999994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Tmains!$F$2</c:f>
              <c:strCache>
                <c:ptCount val="1"/>
                <c:pt idx="0">
                  <c:v>Tampa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Tmains!$F$3:$F$14</c:f>
              <c:numCache>
                <c:formatCode>0.00</c:formatCode>
                <c:ptCount val="12"/>
                <c:pt idx="0">
                  <c:v>70.22</c:v>
                </c:pt>
                <c:pt idx="1">
                  <c:v>70.78</c:v>
                </c:pt>
                <c:pt idx="2">
                  <c:v>73.25</c:v>
                </c:pt>
                <c:pt idx="3">
                  <c:v>76.989999999999995</c:v>
                </c:pt>
                <c:pt idx="4">
                  <c:v>81.010000000000005</c:v>
                </c:pt>
                <c:pt idx="5">
                  <c:v>84.27</c:v>
                </c:pt>
                <c:pt idx="6">
                  <c:v>85.93</c:v>
                </c:pt>
                <c:pt idx="7">
                  <c:v>85.54</c:v>
                </c:pt>
                <c:pt idx="8">
                  <c:v>83.22</c:v>
                </c:pt>
                <c:pt idx="9">
                  <c:v>79.56</c:v>
                </c:pt>
                <c:pt idx="10">
                  <c:v>75.52</c:v>
                </c:pt>
                <c:pt idx="11">
                  <c:v>72.150000000000006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Tmains!$G$2</c:f>
              <c:strCache>
                <c:ptCount val="1"/>
                <c:pt idx="0">
                  <c:v>Datona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Tmains!$G$3:$G$14</c:f>
              <c:numCache>
                <c:formatCode>0.00</c:formatCode>
                <c:ptCount val="12"/>
                <c:pt idx="0">
                  <c:v>68.400000000000006</c:v>
                </c:pt>
                <c:pt idx="1">
                  <c:v>68.84</c:v>
                </c:pt>
                <c:pt idx="2">
                  <c:v>71.23</c:v>
                </c:pt>
                <c:pt idx="3">
                  <c:v>74.930000000000007</c:v>
                </c:pt>
                <c:pt idx="4">
                  <c:v>79</c:v>
                </c:pt>
                <c:pt idx="5">
                  <c:v>82.36</c:v>
                </c:pt>
                <c:pt idx="6">
                  <c:v>84.14</c:v>
                </c:pt>
                <c:pt idx="7">
                  <c:v>83.88</c:v>
                </c:pt>
                <c:pt idx="8">
                  <c:v>81.64</c:v>
                </c:pt>
                <c:pt idx="9">
                  <c:v>78.010000000000005</c:v>
                </c:pt>
                <c:pt idx="10">
                  <c:v>73.930000000000007</c:v>
                </c:pt>
                <c:pt idx="11">
                  <c:v>70.48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691528"/>
        <c:axId val="544499856"/>
      </c:lineChart>
      <c:catAx>
        <c:axId val="546691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4499856"/>
        <c:crosses val="autoZero"/>
        <c:auto val="1"/>
        <c:lblAlgn val="ctr"/>
        <c:lblOffset val="100"/>
        <c:noMultiLvlLbl val="0"/>
      </c:catAx>
      <c:valAx>
        <c:axId val="544499856"/>
        <c:scaling>
          <c:orientation val="minMax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546691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HWgpd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Tmains!$P$2</c:f>
              <c:strCache>
                <c:ptCount val="1"/>
                <c:pt idx="0">
                  <c:v>Jax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Tmains!$P$3:$P$14</c:f>
              <c:numCache>
                <c:formatCode>0.0</c:formatCode>
                <c:ptCount val="12"/>
                <c:pt idx="0">
                  <c:v>48.106672667591752</c:v>
                </c:pt>
                <c:pt idx="1">
                  <c:v>48.001767629596912</c:v>
                </c:pt>
                <c:pt idx="2">
                  <c:v>47.08815022383596</c:v>
                </c:pt>
                <c:pt idx="3">
                  <c:v>45.416219972085301</c:v>
                </c:pt>
                <c:pt idx="4">
                  <c:v>43.189177891820151</c:v>
                </c:pt>
                <c:pt idx="5">
                  <c:v>40.915137556168439</c:v>
                </c:pt>
                <c:pt idx="6">
                  <c:v>39.448578177398446</c:v>
                </c:pt>
                <c:pt idx="7">
                  <c:v>39.515949885258806</c:v>
                </c:pt>
                <c:pt idx="8">
                  <c:v>41.084119684721124</c:v>
                </c:pt>
                <c:pt idx="9">
                  <c:v>43.381097083739341</c:v>
                </c:pt>
                <c:pt idx="10">
                  <c:v>45.583422520535954</c:v>
                </c:pt>
                <c:pt idx="11">
                  <c:v>47.195783742716657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Tmains!$Q$2</c:f>
              <c:strCache>
                <c:ptCount val="1"/>
                <c:pt idx="0">
                  <c:v>Tally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Tmains!$Q$3:$Q$14</c:f>
              <c:numCache>
                <c:formatCode>0.0</c:formatCode>
                <c:ptCount val="12"/>
                <c:pt idx="0">
                  <c:v>48.458966897681918</c:v>
                </c:pt>
                <c:pt idx="1">
                  <c:v>48.383180530303463</c:v>
                </c:pt>
                <c:pt idx="2">
                  <c:v>47.519002018646994</c:v>
                </c:pt>
                <c:pt idx="3">
                  <c:v>45.906423881124958</c:v>
                </c:pt>
                <c:pt idx="4">
                  <c:v>43.741518098573607</c:v>
                </c:pt>
                <c:pt idx="5">
                  <c:v>41.520666169701542</c:v>
                </c:pt>
                <c:pt idx="6">
                  <c:v>40.050093123804558</c:v>
                </c:pt>
                <c:pt idx="7">
                  <c:v>40.063026976379362</c:v>
                </c:pt>
                <c:pt idx="8">
                  <c:v>41.549649064543409</c:v>
                </c:pt>
                <c:pt idx="9">
                  <c:v>43.780371130926277</c:v>
                </c:pt>
                <c:pt idx="10">
                  <c:v>45.938610544336498</c:v>
                </c:pt>
                <c:pt idx="11">
                  <c:v>47.536278298644902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Tmains!$R$2</c:f>
              <c:strCache>
                <c:ptCount val="1"/>
                <c:pt idx="0">
                  <c:v>Miami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Tmains!$R$3:$R$14</c:f>
              <c:numCache>
                <c:formatCode>0.0</c:formatCode>
                <c:ptCount val="12"/>
                <c:pt idx="0">
                  <c:v>43.250108716971909</c:v>
                </c:pt>
                <c:pt idx="1">
                  <c:v>42.942402963909991</c:v>
                </c:pt>
                <c:pt idx="2">
                  <c:v>41.915067821099903</c:v>
                </c:pt>
                <c:pt idx="3">
                  <c:v>40.287435292617957</c:v>
                </c:pt>
                <c:pt idx="4">
                  <c:v>38.369019789053347</c:v>
                </c:pt>
                <c:pt idx="5">
                  <c:v>36.684251374096561</c:v>
                </c:pt>
                <c:pt idx="6">
                  <c:v>35.857713109953217</c:v>
                </c:pt>
                <c:pt idx="7">
                  <c:v>36.255512404540674</c:v>
                </c:pt>
                <c:pt idx="8">
                  <c:v>37.699215100695149</c:v>
                </c:pt>
                <c:pt idx="9">
                  <c:v>39.603056321083194</c:v>
                </c:pt>
                <c:pt idx="10">
                  <c:v>41.380653526409553</c:v>
                </c:pt>
                <c:pt idx="11">
                  <c:v>42.648176663318914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Tmains!$S$2</c:f>
              <c:strCache>
                <c:ptCount val="1"/>
                <c:pt idx="0">
                  <c:v>Orlando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Tmains!$S$3:$S$14</c:f>
              <c:numCache>
                <c:formatCode>0.0</c:formatCode>
                <c:ptCount val="12"/>
                <c:pt idx="0">
                  <c:v>46.153422298812643</c:v>
                </c:pt>
                <c:pt idx="1">
                  <c:v>45.958679250538452</c:v>
                </c:pt>
                <c:pt idx="2">
                  <c:v>45.000120394952539</c:v>
                </c:pt>
                <c:pt idx="3">
                  <c:v>43.361035988585911</c:v>
                </c:pt>
                <c:pt idx="4">
                  <c:v>41.292386209981728</c:v>
                </c:pt>
                <c:pt idx="5">
                  <c:v>39.319684487782155</c:v>
                </c:pt>
                <c:pt idx="6">
                  <c:v>38.185969069819386</c:v>
                </c:pt>
                <c:pt idx="7">
                  <c:v>38.419869518319416</c:v>
                </c:pt>
                <c:pt idx="8">
                  <c:v>39.9070212753156</c:v>
                </c:pt>
                <c:pt idx="9">
                  <c:v>41.982455268972686</c:v>
                </c:pt>
                <c:pt idx="10">
                  <c:v>43.953669656311909</c:v>
                </c:pt>
                <c:pt idx="11">
                  <c:v>45.390922525361582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Tmains!$T$2</c:f>
              <c:strCache>
                <c:ptCount val="1"/>
                <c:pt idx="0">
                  <c:v>Tampa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Tmains!$T$3:$T$14</c:f>
              <c:numCache>
                <c:formatCode>0.0</c:formatCode>
                <c:ptCount val="12"/>
                <c:pt idx="0">
                  <c:v>46.058473255091414</c:v>
                </c:pt>
                <c:pt idx="1">
                  <c:v>45.833656614867664</c:v>
                </c:pt>
                <c:pt idx="2">
                  <c:v>44.783995634463977</c:v>
                </c:pt>
                <c:pt idx="3">
                  <c:v>42.989049130766581</c:v>
                </c:pt>
                <c:pt idx="4">
                  <c:v>40.719381037163089</c:v>
                </c:pt>
                <c:pt idx="5">
                  <c:v>38.549823384309498</c:v>
                </c:pt>
                <c:pt idx="6">
                  <c:v>37.305961287589973</c:v>
                </c:pt>
                <c:pt idx="7">
                  <c:v>37.607599308214191</c:v>
                </c:pt>
                <c:pt idx="8">
                  <c:v>39.285570250060282</c:v>
                </c:pt>
                <c:pt idx="9">
                  <c:v>41.584344345085192</c:v>
                </c:pt>
                <c:pt idx="10">
                  <c:v>43.726915820827273</c:v>
                </c:pt>
                <c:pt idx="11">
                  <c:v>45.263573694692766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Tmains!$U$2</c:f>
              <c:strCache>
                <c:ptCount val="1"/>
                <c:pt idx="0">
                  <c:v>Datona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Tmains!$U$3:$U$14</c:f>
              <c:numCache>
                <c:formatCode>0.0</c:formatCode>
                <c:ptCount val="12"/>
                <c:pt idx="0">
                  <c:v>46.758403718996497</c:v>
                </c:pt>
                <c:pt idx="1">
                  <c:v>46.593347795990049</c:v>
                </c:pt>
                <c:pt idx="2">
                  <c:v>45.649606992197171</c:v>
                </c:pt>
                <c:pt idx="3">
                  <c:v>44.010882051451205</c:v>
                </c:pt>
                <c:pt idx="4">
                  <c:v>41.903802397749004</c:v>
                </c:pt>
                <c:pt idx="5">
                  <c:v>39.861188807733498</c:v>
                </c:pt>
                <c:pt idx="6">
                  <c:v>38.642966883054072</c:v>
                </c:pt>
                <c:pt idx="7">
                  <c:v>38.827487053475615</c:v>
                </c:pt>
                <c:pt idx="8">
                  <c:v>40.325541528183784</c:v>
                </c:pt>
                <c:pt idx="9">
                  <c:v>42.449929695879035</c:v>
                </c:pt>
                <c:pt idx="10">
                  <c:v>44.477196119920613</c:v>
                </c:pt>
                <c:pt idx="11">
                  <c:v>45.954668454082537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500824"/>
        <c:axId val="545500432"/>
      </c:lineChart>
      <c:catAx>
        <c:axId val="54550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5500432"/>
        <c:crosses val="autoZero"/>
        <c:auto val="1"/>
        <c:lblAlgn val="ctr"/>
        <c:lblOffset val="100"/>
        <c:noMultiLvlLbl val="0"/>
      </c:catAx>
      <c:valAx>
        <c:axId val="545500432"/>
        <c:scaling>
          <c:orientation val="minMax"/>
          <c:min val="34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545500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power"/>
            <c:dispRSqr val="1"/>
            <c:dispEq val="1"/>
            <c:trendlineLbl>
              <c:layout>
                <c:manualLayout>
                  <c:x val="-0.56330577427821527"/>
                  <c:y val="-1.838046453870685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gpd!$A$15:$A$23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gpd!$N$15:$N$23</c:f>
              <c:numCache>
                <c:formatCode>0.0</c:formatCode>
                <c:ptCount val="9"/>
                <c:pt idx="0">
                  <c:v>10.098746352890238</c:v>
                </c:pt>
                <c:pt idx="1">
                  <c:v>12.798227599631947</c:v>
                </c:pt>
                <c:pt idx="2">
                  <c:v>15.25726829435826</c:v>
                </c:pt>
                <c:pt idx="3">
                  <c:v>17.475868437069185</c:v>
                </c:pt>
                <c:pt idx="4">
                  <c:v>19.454028027764718</c:v>
                </c:pt>
                <c:pt idx="5">
                  <c:v>21.191747066444858</c:v>
                </c:pt>
                <c:pt idx="6">
                  <c:v>22.689025553109605</c:v>
                </c:pt>
                <c:pt idx="7">
                  <c:v>23.945863487758963</c:v>
                </c:pt>
                <c:pt idx="8">
                  <c:v>24.962260870392921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500640"/>
        <c:axId val="544501032"/>
      </c:scatterChart>
      <c:valAx>
        <c:axId val="544500640"/>
        <c:scaling>
          <c:orientation val="minMax"/>
          <c:max val="9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Bedrooms (Nbr)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4501032"/>
        <c:crosses val="autoZero"/>
        <c:crossBetween val="midCat"/>
        <c:majorUnit val="1"/>
        <c:minorUnit val="0.5"/>
      </c:valAx>
      <c:valAx>
        <c:axId val="544501032"/>
        <c:scaling>
          <c:orientation val="minMax"/>
          <c:min val="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Water Waste (gpd)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445006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-0.48958333333333331"/>
                  <c:y val="-1.838046453870685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gpd!$A$15:$A$23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gpd!$O$15:$O$23</c:f>
              <c:numCache>
                <c:formatCode>0.0</c:formatCode>
                <c:ptCount val="9"/>
                <c:pt idx="0">
                  <c:v>25.761253647109761</c:v>
                </c:pt>
                <c:pt idx="1">
                  <c:v>34.941772400368052</c:v>
                </c:pt>
                <c:pt idx="2">
                  <c:v>44.362731705641728</c:v>
                </c:pt>
                <c:pt idx="3">
                  <c:v>54.024131562930812</c:v>
                </c:pt>
                <c:pt idx="4">
                  <c:v>63.925971972235274</c:v>
                </c:pt>
                <c:pt idx="5">
                  <c:v>74.068252933555144</c:v>
                </c:pt>
                <c:pt idx="6">
                  <c:v>84.450974446890399</c:v>
                </c:pt>
                <c:pt idx="7">
                  <c:v>95.074136512241054</c:v>
                </c:pt>
                <c:pt idx="8">
                  <c:v>105.93773912960708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501816"/>
        <c:axId val="544502208"/>
      </c:scatterChart>
      <c:valAx>
        <c:axId val="544501816"/>
        <c:scaling>
          <c:orientation val="minMax"/>
          <c:max val="9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Bedrooms (Nbr)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4502208"/>
        <c:crosses val="autoZero"/>
        <c:crossBetween val="midCat"/>
        <c:majorUnit val="1"/>
        <c:minorUnit val="0.5"/>
      </c:valAx>
      <c:valAx>
        <c:axId val="544502208"/>
        <c:scaling>
          <c:orientation val="minMax"/>
          <c:min val="16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Fixture Use (gpd)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44501816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35712510936132985"/>
                  <c:y val="-5.1985437304207941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en-US"/>
                </a:p>
              </c:txPr>
            </c:trendlineLbl>
          </c:trendline>
          <c:xVal>
            <c:numRef>
              <c:f>gpd!$A$15:$A$23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gpd!$J$15:$J$23</c:f>
              <c:numCache>
                <c:formatCode>0.000</c:formatCode>
                <c:ptCount val="9"/>
                <c:pt idx="0">
                  <c:v>0.57286004405026847</c:v>
                </c:pt>
                <c:pt idx="1">
                  <c:v>0.58872559035270011</c:v>
                </c:pt>
                <c:pt idx="2">
                  <c:v>0.60145361798076658</c:v>
                </c:pt>
                <c:pt idx="3">
                  <c:v>0.61257297016007684</c:v>
                </c:pt>
                <c:pt idx="4">
                  <c:v>0.62275798821740203</c:v>
                </c:pt>
                <c:pt idx="5">
                  <c:v>0.63235231833182681</c:v>
                </c:pt>
                <c:pt idx="6">
                  <c:v>0.6415494879834972</c:v>
                </c:pt>
                <c:pt idx="7">
                  <c:v>0.65046680761720099</c:v>
                </c:pt>
                <c:pt idx="8">
                  <c:v>0.65917952830630022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502992"/>
        <c:axId val="544503384"/>
      </c:scatterChart>
      <c:valAx>
        <c:axId val="544502992"/>
        <c:scaling>
          <c:orientation val="minMax"/>
          <c:max val="9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Bedrooms (Nbr)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4503384"/>
        <c:crosses val="autoZero"/>
        <c:crossBetween val="midCat"/>
        <c:majorUnit val="1"/>
        <c:minorUnit val="0.5"/>
      </c:valAx>
      <c:valAx>
        <c:axId val="544503384"/>
        <c:scaling>
          <c:orientation val="minMax"/>
          <c:min val="0.5600000000000000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Ifrac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544502992"/>
        <c:crosses val="autoZero"/>
        <c:crossBetween val="midCat"/>
        <c:majorUnit val="2.0000000000000004E-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102937</xdr:colOff>
      <xdr:row>18</xdr:row>
      <xdr:rowOff>6685</xdr:rowOff>
    </xdr:from>
    <xdr:to>
      <xdr:col>5</xdr:col>
      <xdr:colOff>510674</xdr:colOff>
      <xdr:row>32</xdr:row>
      <xdr:rowOff>76201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615949</xdr:colOff>
      <xdr:row>18</xdr:row>
      <xdr:rowOff>6350</xdr:rowOff>
    </xdr:from>
    <xdr:to>
      <xdr:col>10</xdr:col>
      <xdr:colOff>311149</xdr:colOff>
      <xdr:row>32</xdr:row>
      <xdr:rowOff>75866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0.38403</cdr:x>
      <cdr:y>0.51505</cdr:y>
    </cdr:from>
    <cdr:to>
      <cdr:x>0.58403</cdr:x>
      <cdr:y>0.84838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55775" y="14128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32</xdr:row>
      <xdr:rowOff>95250</xdr:rowOff>
    </xdr:from>
    <xdr:to>
      <xdr:col>7</xdr:col>
      <xdr:colOff>444500</xdr:colOff>
      <xdr:row>47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546100</xdr:colOff>
      <xdr:row>32</xdr:row>
      <xdr:rowOff>101600</xdr:rowOff>
    </xdr:from>
    <xdr:to>
      <xdr:col>15</xdr:col>
      <xdr:colOff>234950</xdr:colOff>
      <xdr:row>47</xdr:row>
      <xdr:rowOff>82550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20</xdr:row>
      <xdr:rowOff>1587</xdr:rowOff>
    </xdr:from>
    <xdr:to>
      <xdr:col>7</xdr:col>
      <xdr:colOff>119062</xdr:colOff>
      <xdr:row>34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7937</xdr:colOff>
      <xdr:row>20</xdr:row>
      <xdr:rowOff>7937</xdr:rowOff>
    </xdr:from>
    <xdr:to>
      <xdr:col>16</xdr:col>
      <xdr:colOff>147637</xdr:colOff>
      <xdr:row>34</xdr:row>
      <xdr:rowOff>173037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25</xdr:row>
      <xdr:rowOff>184149</xdr:rowOff>
    </xdr:from>
    <xdr:to>
      <xdr:col>7</xdr:col>
      <xdr:colOff>593724</xdr:colOff>
      <xdr:row>41</xdr:row>
      <xdr:rowOff>72389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295275</xdr:colOff>
      <xdr:row>26</xdr:row>
      <xdr:rowOff>9524</xdr:rowOff>
    </xdr:from>
    <xdr:to>
      <xdr:col>15</xdr:col>
      <xdr:colOff>422275</xdr:colOff>
      <xdr:row>41</xdr:row>
      <xdr:rowOff>81914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330199</xdr:colOff>
      <xdr:row>43</xdr:row>
      <xdr:rowOff>6349</xdr:rowOff>
    </xdr:from>
    <xdr:to>
      <xdr:col>7</xdr:col>
      <xdr:colOff>628649</xdr:colOff>
      <xdr:row>58</xdr:row>
      <xdr:rowOff>78739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276225</xdr:colOff>
      <xdr:row>43</xdr:row>
      <xdr:rowOff>6350</xdr:rowOff>
    </xdr:from>
    <xdr:to>
      <xdr:col>15</xdr:col>
      <xdr:colOff>403225</xdr:colOff>
      <xdr:row>58</xdr:row>
      <xdr:rowOff>78740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HW_Florida_2017-02-06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t Water Calcs"/>
      <sheetName val="gpd"/>
      <sheetName val="Tmains"/>
      <sheetName val="HERS_change"/>
      <sheetName val="Worksheet"/>
      <sheetName val="Results"/>
      <sheetName val="nMEUL"/>
    </sheetNames>
    <sheetDataSet>
      <sheetData sheetId="0">
        <row r="32">
          <cell r="H3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zoomScaleNormal="100" workbookViewId="0">
      <selection sqref="A1:K1"/>
    </sheetView>
  </sheetViews>
  <sheetFormatPr defaultColWidth="9.08984375" defaultRowHeight="14.5" x14ac:dyDescent="0.35"/>
  <cols>
    <col min="1" max="1" width="23.453125" style="11" customWidth="1"/>
    <col min="2" max="2" width="11.54296875" style="11" customWidth="1"/>
    <col min="3" max="3" width="2.6328125" style="138" customWidth="1"/>
    <col min="4" max="4" width="8.26953125" style="11" customWidth="1"/>
    <col min="5" max="7" width="13.6328125" style="11" customWidth="1"/>
    <col min="8" max="8" width="15.08984375" style="11" customWidth="1"/>
    <col min="9" max="9" width="9.1796875" style="11" customWidth="1"/>
    <col min="10" max="10" width="18.26953125" style="11" customWidth="1"/>
    <col min="11" max="11" width="10.08984375" style="11" customWidth="1"/>
    <col min="12" max="16" width="8.81640625" style="11" customWidth="1"/>
    <col min="17" max="17" width="33.6328125" style="11" customWidth="1"/>
    <col min="18" max="20" width="9.08984375" style="11" customWidth="1"/>
    <col min="21" max="21" width="11.36328125" style="11" customWidth="1"/>
    <col min="22" max="26" width="9.08984375" style="11" customWidth="1"/>
    <col min="27" max="27" width="9.08984375" style="11"/>
    <col min="28" max="28" width="11.26953125" style="11" customWidth="1"/>
    <col min="29" max="16384" width="9.08984375" style="11"/>
  </cols>
  <sheetData>
    <row r="1" spans="1:31" ht="15" customHeight="1" x14ac:dyDescent="0.45">
      <c r="A1" s="302" t="s">
        <v>177</v>
      </c>
      <c r="B1" s="303"/>
      <c r="C1" s="303"/>
      <c r="D1" s="303"/>
      <c r="E1" s="303"/>
      <c r="F1" s="303"/>
      <c r="G1" s="303"/>
      <c r="H1" s="304"/>
      <c r="I1" s="304"/>
      <c r="J1" s="304"/>
      <c r="K1" s="305"/>
    </row>
    <row r="2" spans="1:31" ht="5" customHeight="1" thickBot="1" x14ac:dyDescent="0.4">
      <c r="A2" s="99"/>
      <c r="B2" s="100"/>
      <c r="C2" s="268"/>
      <c r="D2" s="100"/>
      <c r="E2" s="100"/>
      <c r="F2" s="100"/>
      <c r="G2" s="100"/>
      <c r="H2" s="101"/>
      <c r="I2" s="101"/>
      <c r="J2" s="101"/>
      <c r="K2" s="101"/>
    </row>
    <row r="3" spans="1:31" ht="15" customHeight="1" thickBot="1" x14ac:dyDescent="0.45">
      <c r="A3" s="300" t="s">
        <v>19</v>
      </c>
      <c r="B3" s="301"/>
      <c r="C3" s="269"/>
      <c r="D3" s="275" t="s">
        <v>94</v>
      </c>
      <c r="E3" s="291" t="s">
        <v>269</v>
      </c>
      <c r="F3" s="48" t="s">
        <v>272</v>
      </c>
      <c r="G3" s="49" t="s">
        <v>273</v>
      </c>
      <c r="H3" s="21" t="s">
        <v>90</v>
      </c>
      <c r="J3" s="21" t="s">
        <v>183</v>
      </c>
      <c r="K3" s="85"/>
      <c r="Q3" s="59" t="s">
        <v>86</v>
      </c>
      <c r="R3" s="84"/>
      <c r="U3" s="17" t="s">
        <v>265</v>
      </c>
      <c r="V3" s="287" t="s">
        <v>15</v>
      </c>
      <c r="X3" s="290" t="s">
        <v>149</v>
      </c>
      <c r="Y3" s="17"/>
      <c r="Z3" s="17" t="s">
        <v>267</v>
      </c>
      <c r="AB3" s="11" t="s">
        <v>133</v>
      </c>
      <c r="AC3" s="23" t="s">
        <v>18</v>
      </c>
      <c r="AD3" s="23" t="s">
        <v>136</v>
      </c>
      <c r="AE3" s="12" t="s">
        <v>138</v>
      </c>
    </row>
    <row r="4" spans="1:31" ht="15" customHeight="1" x14ac:dyDescent="0.35">
      <c r="A4" s="21" t="s">
        <v>135</v>
      </c>
      <c r="B4" s="227" t="s">
        <v>218</v>
      </c>
      <c r="C4" s="270"/>
      <c r="D4" s="276">
        <f>F4-G4</f>
        <v>-6.4606568431385867</v>
      </c>
      <c r="E4" s="280" t="s">
        <v>17</v>
      </c>
      <c r="F4" s="241">
        <f>'Monthly Calcs'!I16</f>
        <v>38.478796209720336</v>
      </c>
      <c r="G4" s="242">
        <f>'Monthly Calcs'!H16</f>
        <v>44.939453052858923</v>
      </c>
      <c r="H4" s="22" t="s">
        <v>102</v>
      </c>
      <c r="I4" s="227">
        <v>2400</v>
      </c>
      <c r="J4" s="22" t="s">
        <v>108</v>
      </c>
      <c r="K4" s="227" t="s">
        <v>21</v>
      </c>
      <c r="Q4" s="24" t="s">
        <v>3</v>
      </c>
      <c r="R4" s="30" t="s">
        <v>4</v>
      </c>
      <c r="U4" s="17" t="s">
        <v>266</v>
      </c>
      <c r="V4" s="287" t="s">
        <v>15</v>
      </c>
      <c r="W4" s="17" t="s">
        <v>263</v>
      </c>
      <c r="X4" s="288">
        <v>0.25</v>
      </c>
      <c r="Y4" s="104" t="s">
        <v>261</v>
      </c>
      <c r="Z4" s="12">
        <v>1</v>
      </c>
      <c r="AB4" s="11" t="s">
        <v>218</v>
      </c>
      <c r="AC4" s="23">
        <v>66.8</v>
      </c>
      <c r="AD4" s="124">
        <f>'HW%'!V8</f>
        <v>0.11459863763857352</v>
      </c>
      <c r="AE4" s="14"/>
    </row>
    <row r="5" spans="1:31" ht="15" customHeight="1" x14ac:dyDescent="0.45">
      <c r="A5" s="21" t="s">
        <v>189</v>
      </c>
      <c r="B5" s="227" t="s">
        <v>14</v>
      </c>
      <c r="C5" s="270"/>
      <c r="D5" s="274">
        <f t="shared" ref="D5:D9" si="0">F5-G5</f>
        <v>0</v>
      </c>
      <c r="E5" s="279" t="s">
        <v>68</v>
      </c>
      <c r="F5" s="243">
        <f>'Monthly Calcs'!M16</f>
        <v>27.161732306997749</v>
      </c>
      <c r="G5" s="232">
        <f>'Monthly Calcs'!L16</f>
        <v>27.161732306997749</v>
      </c>
      <c r="H5" s="22" t="s">
        <v>0</v>
      </c>
      <c r="I5" s="227">
        <v>3</v>
      </c>
      <c r="J5" s="22" t="s">
        <v>63</v>
      </c>
      <c r="K5" s="227" t="s">
        <v>27</v>
      </c>
      <c r="Q5" s="31" t="s">
        <v>15</v>
      </c>
      <c r="R5" s="32">
        <v>1</v>
      </c>
      <c r="W5" s="17" t="s">
        <v>264</v>
      </c>
      <c r="X5" s="288">
        <v>0</v>
      </c>
      <c r="Y5" s="104" t="s">
        <v>262</v>
      </c>
      <c r="Z5" s="12">
        <v>1</v>
      </c>
      <c r="AB5" s="11" t="s">
        <v>217</v>
      </c>
      <c r="AC5" s="23">
        <v>67.8</v>
      </c>
      <c r="AD5" s="124">
        <f>'HW%'!R8</f>
        <v>0.11314902225219151</v>
      </c>
      <c r="AE5" s="14"/>
    </row>
    <row r="6" spans="1:31" ht="15" customHeight="1" x14ac:dyDescent="0.45">
      <c r="A6" s="21" t="s">
        <v>124</v>
      </c>
      <c r="B6" s="227" t="s">
        <v>119</v>
      </c>
      <c r="C6" s="270"/>
      <c r="D6" s="274">
        <f t="shared" si="0"/>
        <v>1.8459931181213918E-4</v>
      </c>
      <c r="E6" s="279" t="s">
        <v>195</v>
      </c>
      <c r="F6" s="243">
        <f>'Monthly Calcs'!U16</f>
        <v>3.8887507850298402</v>
      </c>
      <c r="G6" s="232">
        <f>'Monthly Calcs'!T16</f>
        <v>3.888566185718028</v>
      </c>
      <c r="H6" s="22" t="s">
        <v>129</v>
      </c>
      <c r="I6" s="227">
        <v>2</v>
      </c>
      <c r="J6" s="22" t="s">
        <v>161</v>
      </c>
      <c r="K6" s="228">
        <v>0.54</v>
      </c>
      <c r="Q6" s="31" t="s">
        <v>16</v>
      </c>
      <c r="R6" s="32">
        <v>0.95</v>
      </c>
      <c r="W6" s="17" t="s">
        <v>184</v>
      </c>
      <c r="X6" s="289">
        <v>1</v>
      </c>
      <c r="AB6" s="11" t="s">
        <v>224</v>
      </c>
      <c r="AC6" s="23">
        <v>70.3</v>
      </c>
      <c r="AD6" s="124">
        <f>'HW%'!N8</f>
        <v>0.10637727759914256</v>
      </c>
    </row>
    <row r="7" spans="1:31" ht="15" customHeight="1" x14ac:dyDescent="0.35">
      <c r="A7" s="21" t="s">
        <v>105</v>
      </c>
      <c r="B7" s="227" t="s">
        <v>15</v>
      </c>
      <c r="C7" s="270"/>
      <c r="D7" s="274">
        <f t="shared" si="0"/>
        <v>3.7952948183317403E-4</v>
      </c>
      <c r="E7" s="279" t="s">
        <v>196</v>
      </c>
      <c r="F7" s="243">
        <f>'Monthly Calcs'!W16</f>
        <v>4.317354871947586</v>
      </c>
      <c r="G7" s="232">
        <f>'Monthly Calcs'!V16</f>
        <v>4.3169753424657529</v>
      </c>
      <c r="H7" s="22" t="s">
        <v>103</v>
      </c>
      <c r="I7" s="227">
        <v>0</v>
      </c>
      <c r="J7" s="133" t="s">
        <v>160</v>
      </c>
      <c r="K7" s="136">
        <f>IF($B$12="yes",Ifrac*(DWHRinT-Tmains)*DWHReff*PLC*LocF*FixF,0)</f>
        <v>0</v>
      </c>
      <c r="Q7" s="15"/>
      <c r="R7" s="16"/>
      <c r="AB7" s="11" t="s">
        <v>219</v>
      </c>
      <c r="AC7" s="23">
        <v>71.400000000000006</v>
      </c>
      <c r="AD7" s="124">
        <f>'HW%'!J8</f>
        <v>0.10178853235139401</v>
      </c>
    </row>
    <row r="8" spans="1:31" ht="15" customHeight="1" x14ac:dyDescent="0.35">
      <c r="A8" s="21" t="s">
        <v>125</v>
      </c>
      <c r="B8" s="229">
        <f>refPipeL*100%</f>
        <v>89.282032302755098</v>
      </c>
      <c r="C8" s="271"/>
      <c r="D8" s="274">
        <f t="shared" si="0"/>
        <v>-6.4612209719322475</v>
      </c>
      <c r="E8" s="281" t="s">
        <v>142</v>
      </c>
      <c r="F8" s="244">
        <f>'Monthly Calcs'!O16</f>
        <v>0.71791344132580537</v>
      </c>
      <c r="G8" s="245">
        <f>'Monthly Calcs'!N16</f>
        <v>7.179134413258053</v>
      </c>
      <c r="H8" s="22" t="s">
        <v>1</v>
      </c>
      <c r="I8" s="227">
        <v>1</v>
      </c>
      <c r="J8" s="133" t="s">
        <v>73</v>
      </c>
      <c r="K8" s="135">
        <f>'Monthly Calcs'!E16</f>
        <v>72.972109589041111</v>
      </c>
      <c r="Q8" s="25" t="s">
        <v>123</v>
      </c>
      <c r="U8" s="20" t="s">
        <v>101</v>
      </c>
      <c r="AB8" s="11" t="s">
        <v>223</v>
      </c>
      <c r="AC8" s="23">
        <v>72.099999999999994</v>
      </c>
      <c r="AD8" s="124">
        <f>'HW%'!F8</f>
        <v>9.2782248232138514E-2</v>
      </c>
    </row>
    <row r="9" spans="1:31" ht="15" customHeight="1" x14ac:dyDescent="0.35">
      <c r="A9" s="21" t="s">
        <v>126</v>
      </c>
      <c r="B9" s="229">
        <f>refLoopL*100%</f>
        <v>158.5640646055102</v>
      </c>
      <c r="C9" s="271"/>
      <c r="D9" s="274">
        <f t="shared" si="0"/>
        <v>0</v>
      </c>
      <c r="E9" s="279" t="s">
        <v>146</v>
      </c>
      <c r="F9" s="244">
        <f>'Monthly Calcs'!Q16</f>
        <v>2.3930448044193509</v>
      </c>
      <c r="G9" s="232">
        <f>'Monthly Calcs'!P16</f>
        <v>2.3930448044193509</v>
      </c>
      <c r="H9" s="21" t="s">
        <v>178</v>
      </c>
      <c r="Q9" s="122" t="s">
        <v>121</v>
      </c>
      <c r="R9" s="123" t="s">
        <v>122</v>
      </c>
      <c r="S9" s="123" t="s">
        <v>119</v>
      </c>
      <c r="U9" s="95" t="s">
        <v>100</v>
      </c>
      <c r="V9" s="95" t="s">
        <v>99</v>
      </c>
      <c r="W9" s="111" t="s">
        <v>118</v>
      </c>
      <c r="X9" s="95" t="s">
        <v>24</v>
      </c>
      <c r="Y9" s="97" t="s">
        <v>98</v>
      </c>
      <c r="Z9" s="96" t="s">
        <v>97</v>
      </c>
      <c r="AB9" s="11" t="s">
        <v>28</v>
      </c>
      <c r="AC9" s="23">
        <v>76.099999999999994</v>
      </c>
      <c r="AD9" s="124">
        <f>'HW%'!B8</f>
        <v>7.2871496562665256E-2</v>
      </c>
    </row>
    <row r="10" spans="1:31" ht="15" customHeight="1" x14ac:dyDescent="0.45">
      <c r="A10" s="21" t="s">
        <v>127</v>
      </c>
      <c r="B10" s="227">
        <f>10*100%</f>
        <v>10</v>
      </c>
      <c r="C10" s="270"/>
      <c r="D10" s="274"/>
      <c r="E10" s="279" t="s">
        <v>226</v>
      </c>
      <c r="F10" s="244">
        <f>VLOOKUP($B$5,$Q$19:$R$23,2,0)</f>
        <v>0.1</v>
      </c>
      <c r="G10" s="245">
        <v>1</v>
      </c>
      <c r="H10" s="22" t="s">
        <v>181</v>
      </c>
      <c r="I10" s="227" t="s">
        <v>26</v>
      </c>
      <c r="J10" s="133" t="s">
        <v>104</v>
      </c>
      <c r="K10" s="165">
        <f>IF($I$13="yes",IF($I$10="gas",ratedEFg*0.92,ratedEFe),IF($I$10="gas",0.62,0.95))</f>
        <v>0.95</v>
      </c>
      <c r="Q10" s="114" t="s">
        <v>15</v>
      </c>
      <c r="R10" s="121">
        <v>1</v>
      </c>
      <c r="S10" s="121">
        <v>0.9</v>
      </c>
      <c r="U10" s="23" t="s">
        <v>15</v>
      </c>
      <c r="V10" s="23" t="s">
        <v>15</v>
      </c>
      <c r="W10" s="23" t="s">
        <v>87</v>
      </c>
      <c r="X10" s="23" t="s">
        <v>25</v>
      </c>
      <c r="Y10" s="23" t="s">
        <v>23</v>
      </c>
      <c r="Z10" s="86" t="s">
        <v>21</v>
      </c>
    </row>
    <row r="11" spans="1:31" ht="15" customHeight="1" x14ac:dyDescent="0.45">
      <c r="A11" s="21" t="s">
        <v>128</v>
      </c>
      <c r="B11" s="227">
        <f>50*100%</f>
        <v>50</v>
      </c>
      <c r="C11" s="270"/>
      <c r="D11" s="277"/>
      <c r="E11" s="282" t="s">
        <v>227</v>
      </c>
      <c r="F11" s="231">
        <f>oEWfact*(1-oCDeff)+sEWfact*pRatio</f>
        <v>28.8</v>
      </c>
      <c r="G11" s="232">
        <v>32</v>
      </c>
      <c r="H11" s="22" t="s">
        <v>179</v>
      </c>
      <c r="I11" s="225">
        <v>0.83</v>
      </c>
      <c r="J11" s="133" t="s">
        <v>72</v>
      </c>
      <c r="K11" s="134">
        <f>'Monthly Calcs'!C16</f>
        <v>72.972109589041111</v>
      </c>
      <c r="Q11" s="28" t="s">
        <v>11</v>
      </c>
      <c r="R11" s="121">
        <v>1.1100000000000001</v>
      </c>
      <c r="S11" s="121">
        <v>1</v>
      </c>
      <c r="U11" s="23" t="s">
        <v>11</v>
      </c>
      <c r="V11" s="23" t="s">
        <v>110</v>
      </c>
      <c r="W11" s="112" t="s">
        <v>119</v>
      </c>
      <c r="X11" s="23" t="s">
        <v>26</v>
      </c>
      <c r="Y11" s="23" t="s">
        <v>27</v>
      </c>
      <c r="Z11" s="86" t="s">
        <v>22</v>
      </c>
    </row>
    <row r="12" spans="1:31" ht="15" customHeight="1" thickBot="1" x14ac:dyDescent="0.5">
      <c r="A12" s="21" t="s">
        <v>157</v>
      </c>
      <c r="B12" s="227" t="s">
        <v>23</v>
      </c>
      <c r="C12" s="270"/>
      <c r="D12" s="278"/>
      <c r="E12" s="279" t="s">
        <v>228</v>
      </c>
      <c r="F12" s="244">
        <f>IF($B$5="std",(PipeL/refPipeL*Ewaste+128)/160,(loopL/refLoopL*Ewaste+128)/160)</f>
        <v>0.98000000000000009</v>
      </c>
      <c r="G12" s="245">
        <v>1</v>
      </c>
      <c r="H12" s="22" t="s">
        <v>180</v>
      </c>
      <c r="I12" s="225">
        <v>1.6339999999999999</v>
      </c>
      <c r="Q12" s="28" t="s">
        <v>12</v>
      </c>
      <c r="R12" s="121">
        <v>1.1100000000000001</v>
      </c>
      <c r="S12" s="121">
        <v>1</v>
      </c>
      <c r="T12" s="117"/>
      <c r="U12" s="23" t="s">
        <v>12</v>
      </c>
      <c r="V12" s="23"/>
      <c r="X12" s="23"/>
      <c r="Z12" s="12"/>
    </row>
    <row r="13" spans="1:31" ht="15" customHeight="1" x14ac:dyDescent="0.35">
      <c r="A13" s="158"/>
      <c r="B13" s="215"/>
      <c r="C13" s="215"/>
      <c r="D13" s="285" t="s">
        <v>260</v>
      </c>
      <c r="E13" s="283" t="str">
        <f>IF(I10=X10,"therms/y","kWh/y")</f>
        <v>kWh/y</v>
      </c>
      <c r="F13" s="239">
        <f>'Monthly Calcs'!Z16</f>
        <v>1858.4034682226097</v>
      </c>
      <c r="G13" s="240">
        <f>'Monthly Calcs'!Y16</f>
        <v>2215.4553176859572</v>
      </c>
      <c r="H13" s="98" t="s">
        <v>106</v>
      </c>
      <c r="I13" s="226" t="s">
        <v>23</v>
      </c>
      <c r="Q13" s="28" t="s">
        <v>13</v>
      </c>
      <c r="R13" s="121">
        <v>1.1100000000000001</v>
      </c>
      <c r="S13" s="121">
        <v>1</v>
      </c>
      <c r="U13" s="23" t="s">
        <v>13</v>
      </c>
      <c r="V13" s="23"/>
      <c r="X13" s="23"/>
    </row>
    <row r="14" spans="1:31" ht="15" customHeight="1" thickBot="1" x14ac:dyDescent="0.4">
      <c r="B14" s="17"/>
      <c r="C14" s="139"/>
      <c r="D14" s="286">
        <f>IF(I10="gas",(EC_x-EC_r)/(10/g_mult)-pumpkWh_y/(293.08/e_mult),(EC_x-EC_r+pumpkWh_y)/(293.08/e_mult))</f>
        <v>-1.201214171773398</v>
      </c>
      <c r="E14" s="284" t="s">
        <v>20</v>
      </c>
      <c r="F14" s="260">
        <f>IF($B$5=$U$10,0,VLOOKUP($B$5,$Q$33:$R$37,2,0))*pumpW</f>
        <v>5</v>
      </c>
      <c r="G14" s="261">
        <v>0</v>
      </c>
      <c r="Q14" s="28" t="s">
        <v>14</v>
      </c>
      <c r="R14" s="121">
        <v>1.1100000000000001</v>
      </c>
      <c r="S14" s="121">
        <v>1</v>
      </c>
      <c r="U14" s="23" t="s">
        <v>14</v>
      </c>
      <c r="V14" s="23"/>
      <c r="X14" s="23"/>
      <c r="Y14" s="17"/>
      <c r="Z14" s="23"/>
    </row>
    <row r="15" spans="1:31" ht="15" customHeight="1" x14ac:dyDescent="0.35">
      <c r="A15" s="133" t="s">
        <v>158</v>
      </c>
      <c r="B15" s="212">
        <f xml:space="preserve"> 2*(CFA/Nfl)^0.5+10*Nfl+5*Bsmt</f>
        <v>89.282032302755098</v>
      </c>
      <c r="C15" s="272"/>
      <c r="E15" s="262" t="s">
        <v>256</v>
      </c>
      <c r="F15" s="263">
        <f>-(refHWgpd-HWgpd)/refHWgpd</f>
        <v>-0.14376358420605159</v>
      </c>
      <c r="G15" s="297" t="s">
        <v>274</v>
      </c>
      <c r="H15" s="296" t="s">
        <v>255</v>
      </c>
      <c r="V15" s="23"/>
      <c r="Y15" s="17"/>
      <c r="Z15" s="23"/>
    </row>
    <row r="16" spans="1:31" ht="15" customHeight="1" x14ac:dyDescent="0.35">
      <c r="A16" s="133" t="s">
        <v>159</v>
      </c>
      <c r="B16" s="212">
        <f>2*refPipeL-20</f>
        <v>158.5640646055102</v>
      </c>
      <c r="C16" s="272"/>
      <c r="E16" s="264" t="s">
        <v>268</v>
      </c>
      <c r="F16" s="265">
        <f>-nMEUL!C5</f>
        <v>-0.15867757185307763</v>
      </c>
      <c r="G16" s="298" t="s">
        <v>274</v>
      </c>
      <c r="H16" s="296" t="s">
        <v>258</v>
      </c>
      <c r="L16" s="13"/>
      <c r="M16" s="13"/>
      <c r="N16" s="13"/>
      <c r="O16" s="13"/>
      <c r="P16" s="13"/>
      <c r="Q16" s="25" t="s">
        <v>64</v>
      </c>
      <c r="R16" s="25"/>
      <c r="S16" s="116"/>
      <c r="T16" s="118"/>
      <c r="U16" s="95" t="s">
        <v>153</v>
      </c>
      <c r="V16" s="145" t="s">
        <v>2</v>
      </c>
      <c r="W16" s="145" t="s">
        <v>8</v>
      </c>
      <c r="X16" s="145" t="s">
        <v>155</v>
      </c>
      <c r="Y16" s="145" t="s">
        <v>156</v>
      </c>
      <c r="Z16" s="146" t="s">
        <v>9</v>
      </c>
      <c r="AA16" s="17"/>
    </row>
    <row r="17" spans="1:26" ht="15" customHeight="1" thickBot="1" x14ac:dyDescent="0.4">
      <c r="A17" s="133" t="s">
        <v>254</v>
      </c>
      <c r="B17" s="137">
        <f>VLOOKUP(B4,AB4:AD9,3,FALSE)</f>
        <v>0.11459863763857352</v>
      </c>
      <c r="C17" s="273"/>
      <c r="E17" s="266" t="s">
        <v>257</v>
      </c>
      <c r="F17" s="267">
        <f>HW_Climate_factor*(eRatio-1)</f>
        <v>-1.8184233558159554E-2</v>
      </c>
      <c r="G17" s="299" t="s">
        <v>274</v>
      </c>
      <c r="H17" s="296" t="s">
        <v>259</v>
      </c>
      <c r="L17" s="13"/>
      <c r="M17" s="13"/>
      <c r="N17" s="13"/>
      <c r="O17" s="13"/>
      <c r="P17" s="13"/>
      <c r="Q17" s="25"/>
      <c r="R17" s="25"/>
      <c r="S17" s="116"/>
      <c r="T17" s="118"/>
      <c r="U17" s="23" t="s">
        <v>15</v>
      </c>
      <c r="V17" s="1">
        <v>2.8740000000000001</v>
      </c>
      <c r="W17" s="1">
        <v>704</v>
      </c>
      <c r="X17" s="1">
        <v>8.0299999999999996E-2</v>
      </c>
      <c r="Y17" s="1">
        <v>0.57999999999999996</v>
      </c>
      <c r="Z17" s="1">
        <v>23</v>
      </c>
    </row>
    <row r="18" spans="1:26" ht="5" customHeight="1" x14ac:dyDescent="0.35">
      <c r="Q18" s="26" t="s">
        <v>5</v>
      </c>
      <c r="R18" s="27" t="s">
        <v>87</v>
      </c>
      <c r="S18" s="54"/>
      <c r="T18" s="118"/>
      <c r="U18" s="144" t="s">
        <v>152</v>
      </c>
      <c r="V18" s="1">
        <v>3.2</v>
      </c>
      <c r="W18" s="1">
        <v>487</v>
      </c>
      <c r="X18" s="1">
        <v>8.0299999999999996E-2</v>
      </c>
      <c r="Y18" s="1">
        <v>0.68799999999999994</v>
      </c>
      <c r="Z18" s="1">
        <v>23</v>
      </c>
    </row>
    <row r="19" spans="1:26" ht="15.75" customHeight="1" x14ac:dyDescent="0.35">
      <c r="Q19" s="28" t="s">
        <v>120</v>
      </c>
      <c r="R19" s="29">
        <v>1</v>
      </c>
      <c r="S19" s="54"/>
      <c r="T19" s="87"/>
      <c r="U19" s="23" t="s">
        <v>150</v>
      </c>
      <c r="V19" s="1">
        <v>3.5</v>
      </c>
      <c r="W19" s="1">
        <v>281</v>
      </c>
      <c r="X19" s="1">
        <v>8.5999999999999993E-2</v>
      </c>
      <c r="Y19" s="1">
        <v>0.91</v>
      </c>
      <c r="Z19" s="1">
        <v>14</v>
      </c>
    </row>
    <row r="20" spans="1:26" ht="15.75" customHeight="1" x14ac:dyDescent="0.35">
      <c r="F20" s="68"/>
      <c r="G20" s="20"/>
      <c r="Q20" s="28" t="s">
        <v>11</v>
      </c>
      <c r="R20" s="160">
        <v>0.1</v>
      </c>
      <c r="S20" s="55"/>
      <c r="T20" s="87"/>
      <c r="U20" s="23" t="s">
        <v>151</v>
      </c>
      <c r="V20" s="1">
        <v>3.31</v>
      </c>
      <c r="W20" s="1">
        <v>151</v>
      </c>
      <c r="X20" s="1">
        <v>0.1065</v>
      </c>
      <c r="Y20" s="1">
        <v>1.218</v>
      </c>
      <c r="Z20" s="1">
        <v>12</v>
      </c>
    </row>
    <row r="21" spans="1:26" ht="15.75" customHeight="1" x14ac:dyDescent="0.35">
      <c r="E21" s="247"/>
      <c r="Q21" s="28" t="s">
        <v>12</v>
      </c>
      <c r="R21" s="29">
        <f>R20</f>
        <v>0.1</v>
      </c>
      <c r="S21" s="55"/>
      <c r="T21" s="87"/>
      <c r="U21" s="23"/>
    </row>
    <row r="22" spans="1:26" ht="15.75" customHeight="1" x14ac:dyDescent="0.35">
      <c r="Q22" s="28" t="s">
        <v>13</v>
      </c>
      <c r="R22" s="29">
        <f>R20</f>
        <v>0.1</v>
      </c>
      <c r="S22" s="55"/>
      <c r="T22" s="87"/>
      <c r="U22" s="95" t="s">
        <v>154</v>
      </c>
      <c r="V22" s="145" t="s">
        <v>7</v>
      </c>
      <c r="W22" s="145" t="s">
        <v>95</v>
      </c>
    </row>
    <row r="23" spans="1:26" ht="15.75" customHeight="1" x14ac:dyDescent="0.35">
      <c r="Q23" s="28" t="s">
        <v>14</v>
      </c>
      <c r="R23" s="29">
        <f>R20</f>
        <v>0.1</v>
      </c>
      <c r="S23" s="87"/>
      <c r="U23" s="23" t="s">
        <v>15</v>
      </c>
      <c r="V23" s="11">
        <v>12</v>
      </c>
      <c r="W23" s="11">
        <v>0.46</v>
      </c>
    </row>
    <row r="24" spans="1:26" ht="15.75" customHeight="1" x14ac:dyDescent="0.35">
      <c r="Q24" s="15"/>
      <c r="R24" s="16"/>
      <c r="U24" s="23" t="s">
        <v>150</v>
      </c>
      <c r="V24" s="11">
        <v>12</v>
      </c>
      <c r="W24" s="11">
        <v>0.73</v>
      </c>
    </row>
    <row r="25" spans="1:26" ht="15.75" customHeight="1" x14ac:dyDescent="0.35">
      <c r="Q25" s="143" t="s">
        <v>84</v>
      </c>
      <c r="R25" s="10"/>
      <c r="U25" s="23" t="s">
        <v>151</v>
      </c>
      <c r="V25" s="11">
        <v>12</v>
      </c>
      <c r="W25" s="11">
        <v>1.1200000000000001</v>
      </c>
    </row>
    <row r="26" spans="1:26" ht="15.75" customHeight="1" x14ac:dyDescent="0.35">
      <c r="Q26" s="28" t="s">
        <v>109</v>
      </c>
      <c r="R26" s="88" t="s">
        <v>53</v>
      </c>
    </row>
    <row r="27" spans="1:26" x14ac:dyDescent="0.35">
      <c r="Q27" s="90" t="s">
        <v>93</v>
      </c>
      <c r="R27" s="91">
        <v>1</v>
      </c>
    </row>
    <row r="28" spans="1:26" x14ac:dyDescent="0.35">
      <c r="Q28" s="90" t="s">
        <v>92</v>
      </c>
      <c r="R28" s="91">
        <v>0.77700000000000002</v>
      </c>
    </row>
    <row r="29" spans="1:26" x14ac:dyDescent="0.35">
      <c r="Q29" s="90" t="s">
        <v>91</v>
      </c>
      <c r="R29" s="91">
        <v>0.77700000000000002</v>
      </c>
    </row>
    <row r="30" spans="1:26" x14ac:dyDescent="0.35">
      <c r="U30" s="19"/>
    </row>
    <row r="31" spans="1:26" x14ac:dyDescent="0.35">
      <c r="Q31" s="18" t="s">
        <v>65</v>
      </c>
      <c r="V31" s="93"/>
      <c r="W31" s="105"/>
    </row>
    <row r="32" spans="1:26" x14ac:dyDescent="0.35">
      <c r="Q32" s="24" t="s">
        <v>6</v>
      </c>
      <c r="R32" s="27" t="s">
        <v>10</v>
      </c>
      <c r="S32" s="17"/>
      <c r="T32" s="17"/>
      <c r="V32" s="93"/>
      <c r="W32" s="94"/>
    </row>
    <row r="33" spans="1:23" x14ac:dyDescent="0.35">
      <c r="Q33" s="31" t="s">
        <v>11</v>
      </c>
      <c r="R33" s="88">
        <v>8.76</v>
      </c>
      <c r="W33" s="104"/>
    </row>
    <row r="34" spans="1:23" x14ac:dyDescent="0.35">
      <c r="Q34" s="31" t="s">
        <v>12</v>
      </c>
      <c r="R34" s="88">
        <v>1.46</v>
      </c>
      <c r="W34" s="104"/>
    </row>
    <row r="35" spans="1:23" x14ac:dyDescent="0.35">
      <c r="K35" s="138"/>
      <c r="Q35" s="31" t="s">
        <v>13</v>
      </c>
      <c r="R35" s="88">
        <v>0.15</v>
      </c>
      <c r="T35" s="13"/>
      <c r="W35" s="104"/>
    </row>
    <row r="36" spans="1:23" x14ac:dyDescent="0.35">
      <c r="K36" s="138"/>
      <c r="Q36" s="31"/>
      <c r="R36" s="88"/>
      <c r="T36" s="13"/>
      <c r="W36" s="104"/>
    </row>
    <row r="37" spans="1:23" x14ac:dyDescent="0.35">
      <c r="Q37" s="31" t="s">
        <v>14</v>
      </c>
      <c r="R37" s="163">
        <v>0.1</v>
      </c>
      <c r="T37" s="13"/>
      <c r="W37" s="104"/>
    </row>
    <row r="38" spans="1:23" x14ac:dyDescent="0.35">
      <c r="A38" s="92" t="s">
        <v>96</v>
      </c>
      <c r="F38" s="72"/>
      <c r="G38" s="213"/>
      <c r="W38" s="104"/>
    </row>
    <row r="39" spans="1:23" x14ac:dyDescent="0.35">
      <c r="A39" s="12" t="s">
        <v>162</v>
      </c>
      <c r="B39" s="17"/>
      <c r="C39" s="139"/>
      <c r="D39" s="17"/>
      <c r="E39" s="12" t="s">
        <v>164</v>
      </c>
      <c r="H39" s="12" t="s">
        <v>163</v>
      </c>
      <c r="Q39" s="82" t="s">
        <v>85</v>
      </c>
      <c r="T39" s="119"/>
      <c r="W39" s="104"/>
    </row>
    <row r="40" spans="1:23" ht="16.5" x14ac:dyDescent="0.45">
      <c r="A40" s="17" t="s">
        <v>168</v>
      </c>
      <c r="B40" s="153">
        <f>VLOOKUP($V$3,$U$17:$Z$20,2,0)</f>
        <v>2.8740000000000001</v>
      </c>
      <c r="C40" s="153"/>
      <c r="E40" s="17" t="s">
        <v>134</v>
      </c>
      <c r="F40" s="147">
        <f>VLOOKUP(B4,$AB$4:$AD$9,2,0)</f>
        <v>66.8</v>
      </c>
      <c r="H40" s="17" t="s">
        <v>176</v>
      </c>
      <c r="I40" s="132">
        <f>IF($B$7="std",$K$6,$K$6*1.082)</f>
        <v>0.54</v>
      </c>
      <c r="Q40" s="26" t="s">
        <v>5</v>
      </c>
      <c r="R40" s="56" t="s">
        <v>87</v>
      </c>
      <c r="S40" s="113" t="s">
        <v>119</v>
      </c>
      <c r="T40" s="87"/>
    </row>
    <row r="41" spans="1:23" x14ac:dyDescent="0.35">
      <c r="A41" s="17" t="s">
        <v>167</v>
      </c>
      <c r="B41" s="153">
        <f>VLOOKUP($V$3,$U$17:$Z$20,3,0)</f>
        <v>704</v>
      </c>
      <c r="C41" s="153"/>
      <c r="E41" s="17" t="s">
        <v>144</v>
      </c>
      <c r="F41" s="148">
        <v>125</v>
      </c>
      <c r="G41" s="35"/>
      <c r="H41" s="17" t="s">
        <v>80</v>
      </c>
      <c r="I41" s="11">
        <f>Tuse-8</f>
        <v>97</v>
      </c>
      <c r="Q41" s="57" t="s">
        <v>15</v>
      </c>
      <c r="R41" s="103">
        <v>32</v>
      </c>
      <c r="S41" s="115">
        <v>28.8</v>
      </c>
      <c r="T41" s="120"/>
    </row>
    <row r="42" spans="1:23" x14ac:dyDescent="0.35">
      <c r="A42" s="17" t="s">
        <v>169</v>
      </c>
      <c r="B42" s="153">
        <f>VLOOKUP($V$3,$U$17:$Z$20,4,0)</f>
        <v>8.0299999999999996E-2</v>
      </c>
      <c r="C42" s="153"/>
      <c r="E42" s="17" t="s">
        <v>145</v>
      </c>
      <c r="F42" s="148">
        <v>105</v>
      </c>
      <c r="H42" s="17" t="s">
        <v>83</v>
      </c>
      <c r="I42" s="81">
        <f>0.56 + 0.015*Nbr - 0.0004*Nbr^2</f>
        <v>0.60140000000000005</v>
      </c>
      <c r="J42" s="156" t="s">
        <v>191</v>
      </c>
      <c r="Q42" s="58" t="s">
        <v>11</v>
      </c>
      <c r="R42" s="115">
        <f>S42*2</f>
        <v>500</v>
      </c>
      <c r="S42" s="164">
        <v>250</v>
      </c>
      <c r="T42" s="120"/>
      <c r="V42" s="161"/>
    </row>
    <row r="43" spans="1:23" ht="16.5" x14ac:dyDescent="0.45">
      <c r="A43" s="17" t="s">
        <v>170</v>
      </c>
      <c r="B43" s="153">
        <f>VLOOKUP($V$3,$U$17:$Z$20,5,0)</f>
        <v>0.57999999999999996</v>
      </c>
      <c r="C43" s="153"/>
      <c r="E43" s="17" t="s">
        <v>117</v>
      </c>
      <c r="F43" s="149">
        <f>IF($B$7="std",$R$5,$R$6)</f>
        <v>1</v>
      </c>
      <c r="H43" s="17" t="s">
        <v>60</v>
      </c>
      <c r="I43" s="34">
        <f>IF($K$5=$Y$11,1,0.777)</f>
        <v>1</v>
      </c>
      <c r="J43" s="12"/>
      <c r="Q43" s="58" t="s">
        <v>12</v>
      </c>
      <c r="R43" s="115">
        <f t="shared" ref="R43" si="1">S43*2</f>
        <v>375</v>
      </c>
      <c r="S43" s="164">
        <v>187.5</v>
      </c>
      <c r="T43" s="120"/>
      <c r="U43" s="162"/>
    </row>
    <row r="44" spans="1:23" ht="16.5" x14ac:dyDescent="0.45">
      <c r="A44" s="17" t="s">
        <v>171</v>
      </c>
      <c r="B44" s="153">
        <f>VLOOKUP($V$3,$U$17:$Z$20,6,0)</f>
        <v>23</v>
      </c>
      <c r="C44" s="153"/>
      <c r="E44" s="17" t="s">
        <v>115</v>
      </c>
      <c r="F44" s="150">
        <f xml:space="preserve"> 1-((Tset-Tuse)/(Tset-(Tmains)))</f>
        <v>0.61559079482132328</v>
      </c>
      <c r="H44" s="17" t="s">
        <v>59</v>
      </c>
      <c r="I44" s="72">
        <f>IF($K$4=$Z$10,1,0.5)</f>
        <v>1</v>
      </c>
      <c r="J44" s="12"/>
      <c r="Q44" s="58" t="s">
        <v>13</v>
      </c>
      <c r="R44" s="115">
        <f>S44*1.5</f>
        <v>64.800000000000011</v>
      </c>
      <c r="S44" s="164">
        <v>43.2</v>
      </c>
      <c r="T44" s="120"/>
    </row>
    <row r="45" spans="1:23" ht="16.5" x14ac:dyDescent="0.45">
      <c r="A45" s="17" t="s">
        <v>172</v>
      </c>
      <c r="B45" s="154">
        <f xml:space="preserve"> (3/2.874)*(164+Nbr*46.5)</f>
        <v>316.80584551148223</v>
      </c>
      <c r="C45" s="154"/>
      <c r="D45" s="83"/>
      <c r="E45" s="17" t="s">
        <v>116</v>
      </c>
      <c r="F45" s="151">
        <f xml:space="preserve"> 1-((Tset-Tuse)/(Tset-Tmains-WHinTadj))</f>
        <v>0.61559079482132328</v>
      </c>
      <c r="H45" s="17" t="s">
        <v>61</v>
      </c>
      <c r="I45" s="14">
        <f>1-PLCfact*pLength</f>
        <v>0.998</v>
      </c>
      <c r="J45" s="12"/>
      <c r="Q45" s="58" t="s">
        <v>14</v>
      </c>
      <c r="R45" s="115">
        <f>S45*1.5</f>
        <v>43.2</v>
      </c>
      <c r="S45" s="164">
        <v>28.8</v>
      </c>
      <c r="T45" s="159"/>
    </row>
    <row r="46" spans="1:23" x14ac:dyDescent="0.35">
      <c r="A46" s="17" t="s">
        <v>173</v>
      </c>
      <c r="B46" s="155">
        <f xml:space="preserve"> NCY*(3*2.08+1.59)/(CAPw*2.08+1.59)</f>
        <v>327.77695461301198</v>
      </c>
      <c r="C46" s="155"/>
      <c r="D46" s="83"/>
      <c r="E46" s="139" t="s">
        <v>141</v>
      </c>
      <c r="F46" s="152">
        <f xml:space="preserve"> 9.8*Nbr^0.43</f>
        <v>15.717671770088979</v>
      </c>
      <c r="G46" s="142"/>
      <c r="H46" s="17" t="s">
        <v>62</v>
      </c>
      <c r="I46" s="11">
        <v>2.0000000000000001E-4</v>
      </c>
      <c r="J46" s="12" t="s">
        <v>192</v>
      </c>
    </row>
    <row r="47" spans="1:23" x14ac:dyDescent="0.35">
      <c r="A47" s="17" t="s">
        <v>174</v>
      </c>
      <c r="B47" s="153">
        <f>VLOOKUP($V$4,$U$23:$W$25,2,0)</f>
        <v>12</v>
      </c>
      <c r="C47" s="153"/>
      <c r="E47" s="139" t="s">
        <v>143</v>
      </c>
      <c r="F47" s="152">
        <f>14.6 + 10*Nbr</f>
        <v>44.6</v>
      </c>
      <c r="G47" s="142"/>
      <c r="H47" s="12" t="s">
        <v>166</v>
      </c>
      <c r="J47" s="12" t="s">
        <v>193</v>
      </c>
    </row>
    <row r="48" spans="1:23" x14ac:dyDescent="0.35">
      <c r="A48" s="17" t="s">
        <v>175</v>
      </c>
      <c r="B48" s="153">
        <f>VLOOKUP($V$4,$U$23:$W$25,3,0)</f>
        <v>0.46</v>
      </c>
      <c r="C48" s="153"/>
      <c r="E48" s="12" t="s">
        <v>165</v>
      </c>
      <c r="H48" s="17" t="s">
        <v>74</v>
      </c>
      <c r="I48" s="13">
        <f>IF($B$5=$U$10,PipeL/refPipeL,branchL/10)</f>
        <v>1</v>
      </c>
      <c r="J48" s="12"/>
    </row>
    <row r="49" spans="1:10" x14ac:dyDescent="0.35">
      <c r="A49" s="17" t="s">
        <v>88</v>
      </c>
      <c r="B49" s="149">
        <f xml:space="preserve"> ((88.4+34.9*Nbr)*8.16)/365</f>
        <v>4.3169753424657529</v>
      </c>
      <c r="C49" s="152"/>
      <c r="E49" s="139" t="s">
        <v>147</v>
      </c>
      <c r="F49" s="140">
        <f>refWgpd*oFrac*(1-oCDeff)</f>
        <v>3.9294179425222446</v>
      </c>
      <c r="H49" s="17" t="s">
        <v>81</v>
      </c>
      <c r="I49" s="13">
        <f>IF($B$6=$W$10,VLOOKUP($B$5,$Q$10:$S$14,2,0),VLOOKUP($B$5,$Q$10:$S$14,3,0))</f>
        <v>1</v>
      </c>
      <c r="J49" s="141"/>
    </row>
    <row r="50" spans="1:10" x14ac:dyDescent="0.35">
      <c r="A50" s="17" t="s">
        <v>89</v>
      </c>
      <c r="B50" s="149">
        <f>((4.52*(164+46.5*Nbr))*((3*2.08+1.59)/(2.874*2.08+1.59)))/365</f>
        <v>3.888566185718028</v>
      </c>
      <c r="C50" s="152"/>
      <c r="E50" s="139" t="s">
        <v>139</v>
      </c>
      <c r="F50" s="140">
        <f>(refWgpd-refWgpd*oFrac)*pRatio*sysFactor</f>
        <v>11.788253827566734</v>
      </c>
      <c r="H50" s="17" t="s">
        <v>82</v>
      </c>
      <c r="I50" s="13">
        <f>IF($B$5=$U$10,PipeL,branchL)</f>
        <v>10</v>
      </c>
      <c r="J50" s="141"/>
    </row>
    <row r="51" spans="1:10" x14ac:dyDescent="0.35">
      <c r="A51" s="17" t="s">
        <v>58</v>
      </c>
      <c r="B51" s="155">
        <f xml:space="preserve"> ((88.4+34.9*Nbr)*12/dWcap*(4.6415*(1/DW_EF)-1.9295))/365</f>
        <v>4.3173548719475869</v>
      </c>
      <c r="C51" s="155"/>
      <c r="E51" s="139" t="s">
        <v>148</v>
      </c>
      <c r="F51" s="138">
        <f>IF(B6="none",VLOOKUP(B5,Q41:S45,2,0)*oFrac,VLOOKUP(B5,Q41:S45,3,0)*oFrac)</f>
        <v>7.2</v>
      </c>
      <c r="H51" s="12" t="s">
        <v>182</v>
      </c>
      <c r="J51" s="141"/>
    </row>
    <row r="52" spans="1:10" x14ac:dyDescent="0.35">
      <c r="A52" s="17" t="s">
        <v>57</v>
      </c>
      <c r="B52" s="149">
        <f xml:space="preserve"> 60*((LER*kWh_cost-AGC)/(21.9825*kWh_cost-therm_cost)/392)*ACY/365</f>
        <v>3.8887507850298402</v>
      </c>
      <c r="C52" s="152"/>
      <c r="E52" s="139" t="s">
        <v>140</v>
      </c>
      <c r="F52" s="138">
        <f>IF(B6="none",VLOOKUP($B$5,$Q$41:$S$45,2,0),VLOOKUP($B$5,$Q$41:$S$45,3,0))-oEWfact</f>
        <v>21.6</v>
      </c>
      <c r="H52" s="17" t="s">
        <v>137</v>
      </c>
      <c r="I52" s="34">
        <f>HWgpd/(30+10*Nbr)</f>
        <v>0.64131327016200557</v>
      </c>
      <c r="J52" s="141"/>
    </row>
    <row r="55" spans="1:10" x14ac:dyDescent="0.35">
      <c r="J55" s="12"/>
    </row>
    <row r="56" spans="1:10" x14ac:dyDescent="0.35">
      <c r="J56" s="12"/>
    </row>
    <row r="57" spans="1:10" x14ac:dyDescent="0.35">
      <c r="J57" s="12"/>
    </row>
    <row r="58" spans="1:10" x14ac:dyDescent="0.35">
      <c r="J58" s="12"/>
    </row>
    <row r="59" spans="1:10" x14ac:dyDescent="0.35">
      <c r="J59" s="12"/>
    </row>
    <row r="60" spans="1:10" x14ac:dyDescent="0.35">
      <c r="I60" s="34"/>
      <c r="J60" s="12"/>
    </row>
  </sheetData>
  <sheetProtection algorithmName="SHA-512" hashValue="VqX6am0VS/0id3HVknx5pLNlgWYvCrMG9Z5YGPs1oJBPXCpo5eM19gw8sQjSm21Kd4z1dvzxQPI1WQ+9At2qVg==" saltValue="UQ24s/u8n4Zg1uiQslfb8Q==" spinCount="100000" sheet="1" objects="1" scenarios="1"/>
  <mergeCells count="2">
    <mergeCell ref="A3:B3"/>
    <mergeCell ref="A1:K1"/>
  </mergeCells>
  <dataValidations count="16">
    <dataValidation type="list" allowBlank="1" showInputMessage="1" showErrorMessage="1" sqref="B7:C7">
      <formula1>$V$10:$V$11</formula1>
    </dataValidation>
    <dataValidation type="whole" showInputMessage="1" showErrorMessage="1" error="Value must be whole number between 1 and 5" prompt="Number of conditioned floor levels, including conditioned basements." sqref="I6">
      <formula1>1</formula1>
      <formula2>5</formula2>
    </dataValidation>
    <dataValidation type="whole" allowBlank="1" showInputMessage="1" showErrorMessage="1" error="Value must be either 0 or 1" prompt="Include only unconditioned basements._x000a_" sqref="I7">
      <formula1>0</formula1>
      <formula2>1</formula2>
    </dataValidation>
    <dataValidation allowBlank="1" showInputMessage="1" showErrorMessage="1" error="Value must be whole number between 1 and 10" sqref="I5"/>
    <dataValidation type="whole" allowBlank="1" showInputMessage="1" showErrorMessage="1" error="Must be a whole number between 1 and 100" sqref="I8">
      <formula1>1</formula1>
      <formula2>100</formula2>
    </dataValidation>
    <dataValidation type="list" allowBlank="1" showInputMessage="1" showErrorMessage="1" sqref="B6:C6">
      <formula1>$W$10:$W$11</formula1>
    </dataValidation>
    <dataValidation type="list" allowBlank="1" showInputMessage="1" showErrorMessage="1" sqref="B5:C5">
      <formula1>$U$10:$U$14</formula1>
    </dataValidation>
    <dataValidation type="list" allowBlank="1" showInputMessage="1" showErrorMessage="1" sqref="I10">
      <formula1>$X$10:$X$11</formula1>
    </dataValidation>
    <dataValidation type="decimal" allowBlank="1" showInputMessage="1" showErrorMessage="1" error="Input value must be between 0% and 50%" sqref="X5">
      <formula1>0</formula1>
      <formula2>0.5</formula2>
    </dataValidation>
    <dataValidation type="decimal" allowBlank="1" showInputMessage="1" showErrorMessage="1" error="Input value must be between 0% and 100%" sqref="X4">
      <formula1>0</formula1>
      <formula2>1</formula2>
    </dataValidation>
    <dataValidation type="list" allowBlank="1" showInputMessage="1" showErrorMessage="1" prompt="YES = DWHR equally impacts fixture and water heater supply. _x000a_NO = DWHR impacts ONLY the fixture or ONLY the water heater supply." sqref="K5">
      <formula1>$Y$10:$Y$11</formula1>
    </dataValidation>
    <dataValidation type="list" allowBlank="1" showInputMessage="1" showErrorMessage="1" sqref="K4">
      <formula1>$Z$10:$Z$11</formula1>
    </dataValidation>
    <dataValidation type="list" allowBlank="1" showErrorMessage="1" sqref="B12:C12">
      <formula1>$Y$10:$Y$11</formula1>
    </dataValidation>
    <dataValidation type="list" allowBlank="1" showInputMessage="1" showErrorMessage="1" prompt="Select YES if you want to use values in cells I11 and I12._x000a_Select NO if you want to use minimum EF values. _x000a_The value used in the calculations apprears in cell K10." sqref="I13">
      <formula1>$Y$10:$Y$11</formula1>
    </dataValidation>
    <dataValidation type="list" allowBlank="1" showInputMessage="1" showErrorMessage="1" sqref="B4:C4">
      <formula1>$AB$4:$AB$9</formula1>
    </dataValidation>
    <dataValidation allowBlank="1" showInputMessage="1" showErrorMessage="1" prompt="Tankless water heater EF values will be multiplied by 0.92." sqref="I11"/>
  </dataValidations>
  <pageMargins left="0.7" right="0.7" top="0.75" bottom="0.75" header="0.3" footer="0.3"/>
  <pageSetup orientation="portrait" r:id="rId1"/>
  <ignoredErrors>
    <ignoredError sqref="B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workbookViewId="0">
      <selection activeCell="E4" sqref="E4"/>
    </sheetView>
  </sheetViews>
  <sheetFormatPr defaultRowHeight="14.5" x14ac:dyDescent="0.35"/>
  <cols>
    <col min="1" max="1" width="9.36328125" customWidth="1"/>
    <col min="2" max="2" width="6.7265625" customWidth="1"/>
    <col min="4" max="4" width="9.6328125" style="1" customWidth="1"/>
    <col min="5" max="5" width="8.7265625" style="1"/>
    <col min="7" max="7" width="8.7265625" customWidth="1"/>
    <col min="8" max="9" width="9.6328125" customWidth="1"/>
    <col min="10" max="10" width="7.6328125" customWidth="1"/>
    <col min="11" max="11" width="7.1796875" customWidth="1"/>
    <col min="13" max="14" width="8.7265625" style="1"/>
    <col min="15" max="15" width="9.6328125" style="1" customWidth="1"/>
    <col min="16" max="16" width="8.7265625" style="1"/>
    <col min="17" max="17" width="9.6328125" style="1" customWidth="1"/>
    <col min="18" max="18" width="8.7265625" style="1"/>
    <col min="21" max="21" width="9.6328125" customWidth="1"/>
    <col min="23" max="23" width="9.6328125" customWidth="1"/>
    <col min="25" max="25" width="9.453125" customWidth="1"/>
  </cols>
  <sheetData>
    <row r="1" spans="1:28" x14ac:dyDescent="0.35">
      <c r="A1" s="92" t="s">
        <v>209</v>
      </c>
      <c r="B1" s="149"/>
      <c r="E1" s="11"/>
      <c r="H1" s="204"/>
      <c r="I1" s="205"/>
      <c r="J1" s="139" t="s">
        <v>212</v>
      </c>
      <c r="K1" s="200">
        <f>30+10*Nbr</f>
        <v>60</v>
      </c>
      <c r="L1" s="202"/>
      <c r="M1" s="13"/>
      <c r="N1" s="11"/>
      <c r="O1" s="11"/>
      <c r="P1" s="11"/>
      <c r="Q1" s="11"/>
      <c r="R1" s="11"/>
      <c r="S1" s="141"/>
    </row>
    <row r="2" spans="1:28" x14ac:dyDescent="0.35">
      <c r="A2" s="218" t="str">
        <f>'Hot Water Calcs'!B4</f>
        <v>Tallahassee</v>
      </c>
      <c r="B2" s="11"/>
      <c r="C2" s="11"/>
      <c r="D2" s="11"/>
      <c r="E2" s="11"/>
      <c r="F2" s="11"/>
      <c r="G2" s="11"/>
      <c r="H2" s="204"/>
      <c r="I2" s="206"/>
      <c r="M2" s="11"/>
      <c r="N2" s="11"/>
      <c r="O2" s="11"/>
      <c r="P2" s="11"/>
      <c r="Q2" s="11"/>
      <c r="R2" s="11"/>
      <c r="S2" s="142"/>
    </row>
    <row r="3" spans="1:28" x14ac:dyDescent="0.35">
      <c r="A3" s="186" t="s">
        <v>29</v>
      </c>
      <c r="B3" s="186" t="s">
        <v>197</v>
      </c>
      <c r="C3" s="186" t="s">
        <v>198</v>
      </c>
      <c r="D3" s="187" t="s">
        <v>202</v>
      </c>
      <c r="E3" s="219" t="s">
        <v>216</v>
      </c>
      <c r="F3" s="187" t="s">
        <v>199</v>
      </c>
      <c r="G3" s="187" t="s">
        <v>201</v>
      </c>
      <c r="H3" s="188" t="s">
        <v>200</v>
      </c>
      <c r="I3" s="189" t="s">
        <v>17</v>
      </c>
      <c r="J3" s="195" t="s">
        <v>210</v>
      </c>
      <c r="K3" s="196" t="s">
        <v>211</v>
      </c>
      <c r="L3" s="188" t="s">
        <v>203</v>
      </c>
      <c r="M3" s="189" t="s">
        <v>68</v>
      </c>
      <c r="N3" s="188" t="s">
        <v>205</v>
      </c>
      <c r="O3" s="189" t="s">
        <v>142</v>
      </c>
      <c r="P3" s="188" t="s">
        <v>204</v>
      </c>
      <c r="Q3" s="189" t="s">
        <v>206</v>
      </c>
      <c r="R3" s="192" t="s">
        <v>208</v>
      </c>
      <c r="S3" s="193" t="s">
        <v>55</v>
      </c>
      <c r="T3" s="207" t="s">
        <v>213</v>
      </c>
      <c r="U3" s="210" t="s">
        <v>195</v>
      </c>
      <c r="V3" s="207" t="s">
        <v>214</v>
      </c>
      <c r="W3" s="210" t="s">
        <v>196</v>
      </c>
      <c r="X3" s="195" t="s">
        <v>215</v>
      </c>
      <c r="Y3" s="207" t="str">
        <f>IF('Hot Water Calcs'!$I$10="gas","refTherms","refkWh")</f>
        <v>refkWh</v>
      </c>
      <c r="Z3" s="210" t="str">
        <f>IF('Hot Water Calcs'!$I$10="gas","Therms","kWh")</f>
        <v>kWh</v>
      </c>
      <c r="AA3" s="207" t="s">
        <v>270</v>
      </c>
      <c r="AB3" s="210" t="s">
        <v>271</v>
      </c>
    </row>
    <row r="4" spans="1:28" x14ac:dyDescent="0.35">
      <c r="A4" s="17" t="s">
        <v>32</v>
      </c>
      <c r="B4" s="166">
        <v>31</v>
      </c>
      <c r="C4" s="168">
        <f>IF($A$2="Jacksonville",VLOOKUP(A4,Tmains!$A$3:$G$14,2,FALSE),IF($A$2="Tallahassee",VLOOKUP(A4,Tmains!$A$3:$G$14,3,FALSE),IF($A$2="Miami", VLOOKUP(A4,Tmains!$A$3:$G$14,4,FALSE), IF($A$2="Orlando",VLOOKUP(A4,Tmains!$A$3:$G$14,5,FALSE),IF($A$2="Tampa",VLOOKUP(A4,Tmains!$A$3:$G$14,6,FALSE),VLOOKUP(A4,Tmains!$A$3:$G$14,7,FALSE))))))</f>
        <v>63.43</v>
      </c>
      <c r="D4" s="140">
        <f>IF('Hot Water Calcs'!$B$12="yes",Ifrac*(DWHRinT-C4)*DWHReff*PLC*LocF*FixF,0)</f>
        <v>0</v>
      </c>
      <c r="E4" s="220">
        <f t="shared" ref="E4:E15" si="0">C4+D4</f>
        <v>63.43</v>
      </c>
      <c r="F4" s="176">
        <f t="shared" ref="F4:F15" si="1" xml:space="preserve"> 1-((Tset-Tuse)/(Tset-(C4)))</f>
        <v>0.67516647718044509</v>
      </c>
      <c r="G4" s="177">
        <f t="shared" ref="G4:G15" si="2" xml:space="preserve"> 1-((Tset-Tuse)/(Tset-C4-D4))</f>
        <v>0.67516647718044509</v>
      </c>
      <c r="H4" s="171">
        <f t="shared" ref="H4:H15" si="3">(refDWgpd+refCWgpd+F4*(refFgpd+refWgpd))*Ndu</f>
        <v>48.930011488921139</v>
      </c>
      <c r="I4" s="174">
        <f t="shared" ref="I4:I15" si="4">(DWgpd+CWgpd+(Feff*G4*(refFgpd+oWgdp+sWgdp*WDeff))*VintFact)*Ndu</f>
        <v>41.767445189734367</v>
      </c>
      <c r="J4" s="3">
        <f t="shared" ref="J4:J15" si="5">H4-I4</f>
        <v>7.1625662991867713</v>
      </c>
      <c r="K4" s="197">
        <f t="shared" ref="K4:K15" si="6">I4/$I$16*$K$1</f>
        <v>65.127991471598989</v>
      </c>
      <c r="L4" s="171">
        <f t="shared" ref="L4:L15" si="7">F4*refFgpd*Ndu</f>
        <v>30.112424882247851</v>
      </c>
      <c r="M4" s="174">
        <f t="shared" ref="M4:M15" si="8">Feff*G4*refFgpd*VintFact*Ndu</f>
        <v>30.112424882247851</v>
      </c>
      <c r="N4" s="171">
        <f t="shared" ref="N4:N15" si="9">F4*(refWgpd-refWgpd*oFrac)*Ndu</f>
        <v>7.9590338088671304</v>
      </c>
      <c r="O4" s="174">
        <f t="shared" ref="O4:O15" si="10">Feff*G4*sWgdp*WDeff*VintFact*Ndu</f>
        <v>0.79590338088671309</v>
      </c>
      <c r="P4" s="171">
        <f t="shared" ref="P4:P15" si="11">F4*refWgpd*oFrac*Ndu</f>
        <v>2.6530112696223767</v>
      </c>
      <c r="Q4" s="174">
        <f t="shared" ref="Q4:Q15" si="12">Feff*G4*oWgdp*VintFact*Ndu</f>
        <v>2.6530112696223767</v>
      </c>
      <c r="R4" s="190">
        <f t="shared" ref="R4:R15" si="13">N4+P4</f>
        <v>10.612045078489507</v>
      </c>
      <c r="S4" s="191">
        <f t="shared" ref="S4:S15" si="14">O4+Q4</f>
        <v>3.4489146505090895</v>
      </c>
      <c r="T4" s="208">
        <f t="shared" ref="T4:T15" si="15">refCWgpd</f>
        <v>3.888566185718028</v>
      </c>
      <c r="U4" s="191">
        <f t="shared" ref="U4:U15" si="16">CWgpd</f>
        <v>3.8887507850298402</v>
      </c>
      <c r="V4" s="208">
        <f t="shared" ref="V4:V15" si="17">refDWgpd</f>
        <v>4.3169753424657529</v>
      </c>
      <c r="W4" s="191">
        <f t="shared" ref="W4:W15" si="18">DWgpd</f>
        <v>4.3173548719475869</v>
      </c>
      <c r="X4" s="3">
        <f>(T4+V4)-(U4+W4)</f>
        <v>-5.6412879364664548E-4</v>
      </c>
      <c r="Y4" s="234">
        <f>IF('Hot Water Calcs'!$I$10="gas",((125-$C4)*8.341*$B4*$H4/10^5/0.62)*'Hot Water Calcs'!$G$12,((125-$C4)*8.341*$B4*$H4/3412/0.95)*'Hot Water Calcs'!$G$12)</f>
        <v>240.32096463972709</v>
      </c>
      <c r="Z4" s="236">
        <f>IF('Hot Water Calcs'!$I$10="gas",((125-$E4)*8.341*$I4*$B4/10^5/EFuse)*'Hot Water Calcs'!$F$12,((125-$E4)*8.341*$I4*$B4/3412/EFuse)*'Hot Water Calcs'!$F$12)</f>
        <v>201.03900581324206</v>
      </c>
      <c r="AA4" s="292">
        <f>$H$16</f>
        <v>44.939453052858923</v>
      </c>
      <c r="AB4" s="293">
        <f>$I$16</f>
        <v>38.478796209720336</v>
      </c>
    </row>
    <row r="5" spans="1:28" x14ac:dyDescent="0.35">
      <c r="A5" s="17" t="s">
        <v>33</v>
      </c>
      <c r="B5" s="167">
        <v>28</v>
      </c>
      <c r="C5" s="168">
        <f>IF($A$2="Jacksonville",VLOOKUP(A5,Tmains!$A$3:$E$14,2,FALSE),IF($A$2="Tallahassee",VLOOKUP(A5,Tmains!$A$3:$E$14,3,FALSE),IF($A$2="Miami", VLOOKUP(A5,Tmains!$A$3:$E$14,4,FALSE), VLOOKUP(A5,Tmains!$A$3:$E$14,5,FALSE))))</f>
        <v>63.67</v>
      </c>
      <c r="D5" s="140">
        <f>IF('Hot Water Calcs'!$B$12="yes",Ifrac*(DWHRinT-C5)*DWHReff*PLC*LocF*FixF,0)</f>
        <v>0</v>
      </c>
      <c r="E5" s="220">
        <f t="shared" si="0"/>
        <v>63.67</v>
      </c>
      <c r="F5" s="176">
        <f t="shared" si="1"/>
        <v>0.67389532039784772</v>
      </c>
      <c r="G5" s="177">
        <f t="shared" si="2"/>
        <v>0.67389532039784772</v>
      </c>
      <c r="H5" s="171">
        <f t="shared" si="3"/>
        <v>48.853338271340107</v>
      </c>
      <c r="I5" s="174">
        <f t="shared" si="4"/>
        <v>41.704258219080437</v>
      </c>
      <c r="J5" s="3">
        <f t="shared" si="5"/>
        <v>7.14908005225967</v>
      </c>
      <c r="K5" s="197">
        <f t="shared" si="6"/>
        <v>65.029464006795465</v>
      </c>
      <c r="L5" s="171">
        <f t="shared" si="7"/>
        <v>30.05573128974401</v>
      </c>
      <c r="M5" s="174">
        <f t="shared" si="8"/>
        <v>30.05573128974401</v>
      </c>
      <c r="N5" s="171">
        <f t="shared" si="9"/>
        <v>7.9440490900592389</v>
      </c>
      <c r="O5" s="174">
        <f t="shared" si="10"/>
        <v>0.79440490900592398</v>
      </c>
      <c r="P5" s="171">
        <f t="shared" si="11"/>
        <v>2.6480163633530798</v>
      </c>
      <c r="Q5" s="174">
        <f t="shared" si="12"/>
        <v>2.6480163633530798</v>
      </c>
      <c r="R5" s="190">
        <f t="shared" si="13"/>
        <v>10.592065453412319</v>
      </c>
      <c r="S5" s="191">
        <f t="shared" si="14"/>
        <v>3.4424212723590037</v>
      </c>
      <c r="T5" s="208">
        <f t="shared" si="15"/>
        <v>3.888566185718028</v>
      </c>
      <c r="U5" s="191">
        <f t="shared" si="16"/>
        <v>3.8887507850298402</v>
      </c>
      <c r="V5" s="208">
        <f t="shared" si="17"/>
        <v>4.3169753424657529</v>
      </c>
      <c r="W5" s="191">
        <f t="shared" si="18"/>
        <v>4.3173548719475869</v>
      </c>
      <c r="X5" s="3">
        <f t="shared" ref="X5:X15" si="19">(T5+V5)-(U5+W5)</f>
        <v>-5.6412879364664548E-4</v>
      </c>
      <c r="Y5" s="234">
        <f>IF('Hot Water Calcs'!$I$10="gas",((125-$C5)*8.341*$B5*$H5/10^5/0.62)*'Hot Water Calcs'!$G$12,((125-$C5)*8.341*$B5*$H5/3412/0.95)*'Hot Water Calcs'!$G$12)</f>
        <v>215.87916766201874</v>
      </c>
      <c r="Z5" s="236">
        <f>IF('Hot Water Calcs'!$I$10="gas",((125-$E5)*8.341*$I5*$B5/10^5/EFuse)*'Hot Water Calcs'!$F$12,((125-$E5)*8.341*$I5*$B5/3412/EFuse)*'Hot Water Calcs'!$F$12)</f>
        <v>180.60217077175849</v>
      </c>
      <c r="AA5" s="292">
        <f t="shared" ref="AA5:AA16" si="20">$H$16</f>
        <v>44.939453052858923</v>
      </c>
      <c r="AB5" s="293">
        <f t="shared" ref="AB5:AB16" si="21">$I$16</f>
        <v>38.478796209720336</v>
      </c>
    </row>
    <row r="6" spans="1:28" x14ac:dyDescent="0.35">
      <c r="A6" s="17" t="s">
        <v>34</v>
      </c>
      <c r="B6" s="167">
        <v>31</v>
      </c>
      <c r="C6" s="168">
        <f>IF($A$2="Jacksonville",VLOOKUP(A6,Tmains!$A$3:$E$14,2,FALSE),IF($A$2="Tallahassee",VLOOKUP(A6,Tmains!$A$3:$E$14,3,FALSE),IF($A$2="Miami", VLOOKUP(A6,Tmains!$A$3:$E$14,4,FALSE), VLOOKUP(A6,Tmains!$A$3:$E$14,5,FALSE))))</f>
        <v>66.28</v>
      </c>
      <c r="D6" s="140">
        <f>IF('Hot Water Calcs'!$B$12="yes",Ifrac*(DWHRinT-C6)*DWHReff*PLC*LocF*FixF,0)</f>
        <v>0</v>
      </c>
      <c r="E6" s="220">
        <f t="shared" si="0"/>
        <v>66.28</v>
      </c>
      <c r="F6" s="176">
        <f t="shared" si="1"/>
        <v>0.65940054495912803</v>
      </c>
      <c r="G6" s="177">
        <f t="shared" si="2"/>
        <v>0.65940054495912803</v>
      </c>
      <c r="H6" s="171">
        <f t="shared" si="3"/>
        <v>47.979047164046264</v>
      </c>
      <c r="I6" s="174">
        <f t="shared" si="4"/>
        <v>40.983748394627284</v>
      </c>
      <c r="J6" s="3">
        <f t="shared" si="5"/>
        <v>6.9952987694189801</v>
      </c>
      <c r="K6" s="197">
        <f t="shared" si="6"/>
        <v>63.90597279278839</v>
      </c>
      <c r="L6" s="171">
        <f t="shared" si="7"/>
        <v>29.409264305177111</v>
      </c>
      <c r="M6" s="174">
        <f t="shared" si="8"/>
        <v>29.409264305177111</v>
      </c>
      <c r="N6" s="171">
        <f t="shared" si="9"/>
        <v>7.7731809980140314</v>
      </c>
      <c r="O6" s="174">
        <f t="shared" si="10"/>
        <v>0.77731809980140321</v>
      </c>
      <c r="P6" s="171">
        <f t="shared" si="11"/>
        <v>2.5910603326713439</v>
      </c>
      <c r="Q6" s="174">
        <f t="shared" si="12"/>
        <v>2.5910603326713439</v>
      </c>
      <c r="R6" s="190">
        <f t="shared" si="13"/>
        <v>10.364241330685376</v>
      </c>
      <c r="S6" s="191">
        <f t="shared" si="14"/>
        <v>3.3683784324727473</v>
      </c>
      <c r="T6" s="208">
        <f t="shared" si="15"/>
        <v>3.888566185718028</v>
      </c>
      <c r="U6" s="191">
        <f t="shared" si="16"/>
        <v>3.8887507850298402</v>
      </c>
      <c r="V6" s="208">
        <f t="shared" si="17"/>
        <v>4.3169753424657529</v>
      </c>
      <c r="W6" s="191">
        <f t="shared" si="18"/>
        <v>4.3173548719475869</v>
      </c>
      <c r="X6" s="3">
        <f t="shared" si="19"/>
        <v>-5.6412879364664548E-4</v>
      </c>
      <c r="Y6" s="234">
        <f>IF('Hot Water Calcs'!$I$10="gas",((125-$C6)*8.341*$B6*$H6/10^5/0.62)*'Hot Water Calcs'!$G$12,((125-$C6)*8.341*$B6*$H6/3412/0.95)*'Hot Water Calcs'!$G$12)</f>
        <v>224.74231652799114</v>
      </c>
      <c r="Z6" s="236">
        <f>IF('Hot Water Calcs'!$I$10="gas",((125-$E6)*8.341*$I6*$B6/10^5/EFuse)*'Hot Water Calcs'!$F$12,((125-$E6)*8.341*$I6*$B6/3412/EFuse)*'Hot Water Calcs'!$F$12)</f>
        <v>188.13560161504989</v>
      </c>
      <c r="AA6" s="292">
        <f t="shared" si="20"/>
        <v>44.939453052858923</v>
      </c>
      <c r="AB6" s="293">
        <f t="shared" si="21"/>
        <v>38.478796209720336</v>
      </c>
    </row>
    <row r="7" spans="1:28" x14ac:dyDescent="0.35">
      <c r="A7" s="17" t="s">
        <v>35</v>
      </c>
      <c r="B7" s="167">
        <v>30</v>
      </c>
      <c r="C7" s="168">
        <f>IF($A$2="Jacksonville",VLOOKUP(A7,Tmains!$A$3:$E$14,2,FALSE),IF($A$2="Tallahassee",VLOOKUP(A7,Tmains!$A$3:$E$14,3,FALSE),IF($A$2="Miami", VLOOKUP(A7,Tmains!$A$3:$E$14,4,FALSE), VLOOKUP(A7,Tmains!$A$3:$E$14,5,FALSE))))</f>
        <v>70.599999999999994</v>
      </c>
      <c r="D7" s="140">
        <f>IF('Hot Water Calcs'!$B$12="yes",Ifrac*(DWHRinT-C7)*DWHReff*PLC*LocF*FixF,0)</f>
        <v>0</v>
      </c>
      <c r="E7" s="220">
        <f t="shared" si="0"/>
        <v>70.599999999999994</v>
      </c>
      <c r="F7" s="176">
        <f t="shared" si="1"/>
        <v>0.63235294117647056</v>
      </c>
      <c r="G7" s="177">
        <f t="shared" si="2"/>
        <v>0.63235294117647056</v>
      </c>
      <c r="H7" s="171">
        <f t="shared" si="3"/>
        <v>46.347598676916512</v>
      </c>
      <c r="I7" s="174">
        <f t="shared" si="4"/>
        <v>39.639259524433214</v>
      </c>
      <c r="J7" s="3">
        <f t="shared" si="5"/>
        <v>6.7083391524832976</v>
      </c>
      <c r="K7" s="197">
        <f t="shared" si="6"/>
        <v>61.809510840809089</v>
      </c>
      <c r="L7" s="171">
        <f t="shared" si="7"/>
        <v>28.202941176470588</v>
      </c>
      <c r="M7" s="174">
        <f t="shared" si="8"/>
        <v>28.202941176470588</v>
      </c>
      <c r="N7" s="171">
        <f t="shared" si="9"/>
        <v>7.4543369791966114</v>
      </c>
      <c r="O7" s="174">
        <f t="shared" si="10"/>
        <v>0.74543369791966119</v>
      </c>
      <c r="P7" s="171">
        <f t="shared" si="11"/>
        <v>2.4847789930655368</v>
      </c>
      <c r="Q7" s="174">
        <f t="shared" si="12"/>
        <v>2.4847789930655368</v>
      </c>
      <c r="R7" s="190">
        <f t="shared" si="13"/>
        <v>9.9391159722621474</v>
      </c>
      <c r="S7" s="191">
        <f t="shared" si="14"/>
        <v>3.2302126909851978</v>
      </c>
      <c r="T7" s="208">
        <f t="shared" si="15"/>
        <v>3.888566185718028</v>
      </c>
      <c r="U7" s="191">
        <f t="shared" si="16"/>
        <v>3.8887507850298402</v>
      </c>
      <c r="V7" s="208">
        <f t="shared" si="17"/>
        <v>4.3169753424657529</v>
      </c>
      <c r="W7" s="191">
        <f t="shared" si="18"/>
        <v>4.3173548719475869</v>
      </c>
      <c r="X7" s="3">
        <f t="shared" si="19"/>
        <v>-5.6412879364664548E-4</v>
      </c>
      <c r="Y7" s="234">
        <f>IF('Hot Water Calcs'!$I$10="gas",((125-$C7)*8.341*$B7*$H7/10^5/0.62)*'Hot Water Calcs'!$G$12,((125-$C7)*8.341*$B7*$H7/3412/0.95)*'Hot Water Calcs'!$G$12)</f>
        <v>194.64035390902396</v>
      </c>
      <c r="Z7" s="236">
        <f>IF('Hot Water Calcs'!$I$10="gas",((125-$E7)*8.341*$I7*$B7/10^5/EFuse)*'Hot Water Calcs'!$F$12,((125-$E7)*8.341*$I7*$B7/3412/EFuse)*'Hot Water Calcs'!$F$12)</f>
        <v>163.13879744200412</v>
      </c>
      <c r="AA7" s="292">
        <f t="shared" si="20"/>
        <v>44.939453052858923</v>
      </c>
      <c r="AB7" s="293">
        <f t="shared" si="21"/>
        <v>38.478796209720336</v>
      </c>
    </row>
    <row r="8" spans="1:28" x14ac:dyDescent="0.35">
      <c r="A8" s="17" t="s">
        <v>36</v>
      </c>
      <c r="B8" s="167">
        <v>31</v>
      </c>
      <c r="C8" s="168">
        <f>IF($A$2="Jacksonville",VLOOKUP(A8,Tmains!$A$3:$E$14,2,FALSE),IF($A$2="Tallahassee",VLOOKUP(A8,Tmains!$A$3:$E$14,3,FALSE),IF($A$2="Miami", VLOOKUP(A8,Tmains!$A$3:$E$14,4,FALSE), VLOOKUP(A8,Tmains!$A$3:$E$14,5,FALSE))))</f>
        <v>75.489999999999995</v>
      </c>
      <c r="D8" s="140">
        <f>IF('Hot Water Calcs'!$B$12="yes",Ifrac*(DWHRinT-C8)*DWHReff*PLC*LocF*FixF,0)</f>
        <v>0</v>
      </c>
      <c r="E8" s="220">
        <f t="shared" si="0"/>
        <v>75.489999999999995</v>
      </c>
      <c r="F8" s="176">
        <f t="shared" si="1"/>
        <v>0.5960412037972127</v>
      </c>
      <c r="G8" s="177">
        <f t="shared" si="2"/>
        <v>0.5960412037972127</v>
      </c>
      <c r="H8" s="171">
        <f t="shared" si="3"/>
        <v>44.157359220272767</v>
      </c>
      <c r="I8" s="174">
        <f t="shared" si="4"/>
        <v>37.834266847221436</v>
      </c>
      <c r="J8" s="3">
        <f t="shared" si="5"/>
        <v>6.3230923730513311</v>
      </c>
      <c r="K8" s="197">
        <f t="shared" si="6"/>
        <v>58.994985146126659</v>
      </c>
      <c r="L8" s="171">
        <f t="shared" si="7"/>
        <v>26.583437689355687</v>
      </c>
      <c r="M8" s="174">
        <f t="shared" si="8"/>
        <v>26.583437689355687</v>
      </c>
      <c r="N8" s="171">
        <f t="shared" si="9"/>
        <v>7.0262850020499767</v>
      </c>
      <c r="O8" s="174">
        <f t="shared" si="10"/>
        <v>0.70262850020499767</v>
      </c>
      <c r="P8" s="171">
        <f t="shared" si="11"/>
        <v>2.3420950006833254</v>
      </c>
      <c r="Q8" s="174">
        <f t="shared" si="12"/>
        <v>2.3420950006833254</v>
      </c>
      <c r="R8" s="190">
        <f t="shared" si="13"/>
        <v>9.3683800027333017</v>
      </c>
      <c r="S8" s="191">
        <f t="shared" si="14"/>
        <v>3.0447235008883231</v>
      </c>
      <c r="T8" s="208">
        <f t="shared" si="15"/>
        <v>3.888566185718028</v>
      </c>
      <c r="U8" s="191">
        <f t="shared" si="16"/>
        <v>3.8887507850298402</v>
      </c>
      <c r="V8" s="208">
        <f t="shared" si="17"/>
        <v>4.3169753424657529</v>
      </c>
      <c r="W8" s="191">
        <f t="shared" si="18"/>
        <v>4.3173548719475869</v>
      </c>
      <c r="X8" s="3">
        <f t="shared" si="19"/>
        <v>-5.6412879364664548E-4</v>
      </c>
      <c r="Y8" s="234">
        <f>IF('Hot Water Calcs'!$I$10="gas",((125-$C8)*8.341*$B8*$H8/10^5/0.62)*'Hot Water Calcs'!$G$12,((125-$C8)*8.341*$B8*$H8/3412/0.95)*'Hot Water Calcs'!$G$12)</f>
        <v>174.39868526164449</v>
      </c>
      <c r="Z8" s="236">
        <f>IF('Hot Water Calcs'!$I$10="gas",((125-$E8)*8.341*$I8*$B8/10^5/EFuse)*'Hot Water Calcs'!$F$12,((125-$E8)*8.341*$I8*$B8/3412/EFuse)*'Hot Water Calcs'!$F$12)</f>
        <v>146.43723225878688</v>
      </c>
      <c r="AA8" s="292">
        <f t="shared" si="20"/>
        <v>44.939453052858923</v>
      </c>
      <c r="AB8" s="293">
        <f t="shared" si="21"/>
        <v>38.478796209720336</v>
      </c>
    </row>
    <row r="9" spans="1:28" x14ac:dyDescent="0.35">
      <c r="A9" s="17" t="s">
        <v>37</v>
      </c>
      <c r="B9" s="167">
        <v>30</v>
      </c>
      <c r="C9" s="168">
        <f>IF($A$2="Jacksonville",VLOOKUP(A9,Tmains!$A$3:$E$14,2,FALSE),IF($A$2="Tallahassee",VLOOKUP(A9,Tmains!$A$3:$E$14,3,FALSE),IF($A$2="Miami", VLOOKUP(A9,Tmains!$A$3:$E$14,4,FALSE), VLOOKUP(A9,Tmains!$A$3:$E$14,5,FALSE))))</f>
        <v>79.67</v>
      </c>
      <c r="D9" s="140">
        <f>IF('Hot Water Calcs'!$B$12="yes",Ifrac*(DWHRinT-C9)*DWHReff*PLC*LocF*FixF,0)</f>
        <v>0</v>
      </c>
      <c r="E9" s="220">
        <f t="shared" si="0"/>
        <v>79.67</v>
      </c>
      <c r="F9" s="176">
        <f t="shared" si="1"/>
        <v>0.55879108757996909</v>
      </c>
      <c r="G9" s="177">
        <f t="shared" si="2"/>
        <v>0.55879108757996909</v>
      </c>
      <c r="H9" s="171">
        <f t="shared" si="3"/>
        <v>41.910518936883399</v>
      </c>
      <c r="I9" s="174">
        <f t="shared" si="4"/>
        <v>35.982629006399776</v>
      </c>
      <c r="J9" s="3">
        <f t="shared" si="5"/>
        <v>5.927889930483623</v>
      </c>
      <c r="K9" s="197">
        <f t="shared" si="6"/>
        <v>56.107725631983278</v>
      </c>
      <c r="L9" s="171">
        <f t="shared" si="7"/>
        <v>24.922082506066623</v>
      </c>
      <c r="M9" s="174">
        <f t="shared" si="8"/>
        <v>24.922082506066623</v>
      </c>
      <c r="N9" s="171">
        <f t="shared" si="9"/>
        <v>6.5871711769747492</v>
      </c>
      <c r="O9" s="174">
        <f t="shared" si="10"/>
        <v>0.65871711769747499</v>
      </c>
      <c r="P9" s="171">
        <f t="shared" si="11"/>
        <v>2.1957237256582496</v>
      </c>
      <c r="Q9" s="174">
        <f t="shared" si="12"/>
        <v>2.1957237256582496</v>
      </c>
      <c r="R9" s="190">
        <f t="shared" si="13"/>
        <v>8.7828949026329983</v>
      </c>
      <c r="S9" s="191">
        <f t="shared" si="14"/>
        <v>2.8544408433557247</v>
      </c>
      <c r="T9" s="208">
        <f t="shared" si="15"/>
        <v>3.888566185718028</v>
      </c>
      <c r="U9" s="191">
        <f t="shared" si="16"/>
        <v>3.8887507850298402</v>
      </c>
      <c r="V9" s="208">
        <f t="shared" si="17"/>
        <v>4.3169753424657529</v>
      </c>
      <c r="W9" s="191">
        <f t="shared" si="18"/>
        <v>4.3173548719475869</v>
      </c>
      <c r="X9" s="3">
        <f t="shared" si="19"/>
        <v>-5.6412879364664548E-4</v>
      </c>
      <c r="Y9" s="234">
        <f>IF('Hot Water Calcs'!$I$10="gas",((125-$C9)*8.341*$B9*$H9/10^5/0.62)*'Hot Water Calcs'!$G$12,((125-$C9)*8.341*$B9*$H9/3412/0.95)*'Hot Water Calcs'!$G$12)</f>
        <v>146.66129164299841</v>
      </c>
      <c r="Z9" s="236">
        <f>IF('Hot Water Calcs'!$I$10="gas",((125-$E9)*8.341*$I9*$B9/10^5/EFuse)*'Hot Water Calcs'!$F$12,((125-$E9)*8.341*$I9*$B9/3412/EFuse)*'Hot Water Calcs'!$F$12)</f>
        <v>123.39894138848881</v>
      </c>
      <c r="AA9" s="292">
        <f t="shared" si="20"/>
        <v>44.939453052858923</v>
      </c>
      <c r="AB9" s="293">
        <f t="shared" si="21"/>
        <v>38.478796209720336</v>
      </c>
    </row>
    <row r="10" spans="1:28" x14ac:dyDescent="0.35">
      <c r="A10" s="17" t="s">
        <v>38</v>
      </c>
      <c r="B10" s="167">
        <v>31</v>
      </c>
      <c r="C10" s="168">
        <f>IF($A$2="Jacksonville",VLOOKUP(A10,Tmains!$A$3:$E$14,2,FALSE),IF($A$2="Tallahassee",VLOOKUP(A10,Tmains!$A$3:$E$14,3,FALSE),IF($A$2="Miami", VLOOKUP(A10,Tmains!$A$3:$E$14,4,FALSE), VLOOKUP(A10,Tmains!$A$3:$E$14,5,FALSE))))</f>
        <v>82.07</v>
      </c>
      <c r="D10" s="140">
        <f>IF('Hot Water Calcs'!$B$12="yes",Ifrac*(DWHRinT-C10)*DWHReff*PLC*LocF*FixF,0)</f>
        <v>0</v>
      </c>
      <c r="E10" s="220">
        <f t="shared" si="0"/>
        <v>82.07</v>
      </c>
      <c r="F10" s="176">
        <f t="shared" si="1"/>
        <v>0.5341253202888423</v>
      </c>
      <c r="G10" s="177">
        <f t="shared" si="2"/>
        <v>0.5341253202888423</v>
      </c>
      <c r="H10" s="171">
        <f t="shared" si="3"/>
        <v>40.422737281459817</v>
      </c>
      <c r="I10" s="174">
        <f t="shared" si="4"/>
        <v>34.756537044087736</v>
      </c>
      <c r="J10" s="3">
        <f t="shared" si="5"/>
        <v>5.666200237372081</v>
      </c>
      <c r="K10" s="197">
        <f t="shared" si="6"/>
        <v>54.195880018680576</v>
      </c>
      <c r="L10" s="171">
        <f t="shared" si="7"/>
        <v>23.821989284882367</v>
      </c>
      <c r="M10" s="174">
        <f t="shared" si="8"/>
        <v>23.821989284882367</v>
      </c>
      <c r="N10" s="171">
        <f t="shared" si="9"/>
        <v>6.2964048512952528</v>
      </c>
      <c r="O10" s="174">
        <f t="shared" si="10"/>
        <v>0.62964048512952531</v>
      </c>
      <c r="P10" s="171">
        <f t="shared" si="11"/>
        <v>2.0988016170984176</v>
      </c>
      <c r="Q10" s="174">
        <f t="shared" si="12"/>
        <v>2.0988016170984176</v>
      </c>
      <c r="R10" s="190">
        <f t="shared" si="13"/>
        <v>8.3952064683936705</v>
      </c>
      <c r="S10" s="191">
        <f t="shared" si="14"/>
        <v>2.7284421022279428</v>
      </c>
      <c r="T10" s="208">
        <f t="shared" si="15"/>
        <v>3.888566185718028</v>
      </c>
      <c r="U10" s="191">
        <f t="shared" si="16"/>
        <v>3.8887507850298402</v>
      </c>
      <c r="V10" s="208">
        <f t="shared" si="17"/>
        <v>4.3169753424657529</v>
      </c>
      <c r="W10" s="191">
        <f t="shared" si="18"/>
        <v>4.3173548719475869</v>
      </c>
      <c r="X10" s="3">
        <f t="shared" si="19"/>
        <v>-5.6412879364664548E-4</v>
      </c>
      <c r="Y10" s="234">
        <f>IF('Hot Water Calcs'!$I$10="gas",((125-$C10)*8.341*$B10*$H10/10^5/0.62)*'Hot Water Calcs'!$G$12,((125-$C10)*8.341*$B10*$H10/3412/0.95)*'Hot Water Calcs'!$G$12)</f>
        <v>138.43113979665412</v>
      </c>
      <c r="Z10" s="236">
        <f>IF('Hot Water Calcs'!$I$10="gas",((125-$E10)*8.341*$I10*$B10/10^5/EFuse)*'Hot Water Calcs'!$F$12,((125-$E10)*8.341*$I10*$B10/3412/EFuse)*'Hot Water Calcs'!$F$12)</f>
        <v>116.6462148468205</v>
      </c>
      <c r="AA10" s="292">
        <f t="shared" si="20"/>
        <v>44.939453052858923</v>
      </c>
      <c r="AB10" s="293">
        <f t="shared" si="21"/>
        <v>38.478796209720336</v>
      </c>
    </row>
    <row r="11" spans="1:28" x14ac:dyDescent="0.35">
      <c r="A11" s="17" t="s">
        <v>39</v>
      </c>
      <c r="B11" s="167">
        <v>31</v>
      </c>
      <c r="C11" s="168">
        <f>IF($A$2="Jacksonville",VLOOKUP(A11,Tmains!$A$3:$E$14,2,FALSE),IF($A$2="Tallahassee",VLOOKUP(A11,Tmains!$A$3:$E$14,3,FALSE),IF($A$2="Miami", VLOOKUP(A11,Tmains!$A$3:$E$14,4,FALSE), VLOOKUP(A11,Tmains!$A$3:$E$14,5,FALSE))))</f>
        <v>82.05</v>
      </c>
      <c r="D11" s="140">
        <f>IF('Hot Water Calcs'!$B$12="yes",Ifrac*(DWHRinT-C11)*DWHReff*PLC*LocF*FixF,0)</f>
        <v>0</v>
      </c>
      <c r="E11" s="220">
        <f t="shared" si="0"/>
        <v>82.05</v>
      </c>
      <c r="F11" s="176">
        <f t="shared" si="1"/>
        <v>0.53434225844004657</v>
      </c>
      <c r="G11" s="177">
        <f t="shared" si="2"/>
        <v>0.53434225844004657</v>
      </c>
      <c r="H11" s="171">
        <f t="shared" si="3"/>
        <v>40.435822485658562</v>
      </c>
      <c r="I11" s="174">
        <f t="shared" si="4"/>
        <v>34.767320658494334</v>
      </c>
      <c r="J11" s="3">
        <f t="shared" si="5"/>
        <v>5.6685018271642278</v>
      </c>
      <c r="K11" s="197">
        <f t="shared" si="6"/>
        <v>54.212694912287681</v>
      </c>
      <c r="L11" s="171">
        <f t="shared" si="7"/>
        <v>23.831664726426077</v>
      </c>
      <c r="M11" s="174">
        <f t="shared" si="8"/>
        <v>23.831664726426077</v>
      </c>
      <c r="N11" s="171">
        <f t="shared" si="9"/>
        <v>6.2989621732865322</v>
      </c>
      <c r="O11" s="174">
        <f t="shared" si="10"/>
        <v>0.62989621732865331</v>
      </c>
      <c r="P11" s="171">
        <f t="shared" si="11"/>
        <v>2.0996540577621774</v>
      </c>
      <c r="Q11" s="174">
        <f t="shared" si="12"/>
        <v>2.0996540577621774</v>
      </c>
      <c r="R11" s="190">
        <f t="shared" si="13"/>
        <v>8.3986162310487096</v>
      </c>
      <c r="S11" s="191">
        <f t="shared" si="14"/>
        <v>2.7295502750908307</v>
      </c>
      <c r="T11" s="208">
        <f t="shared" si="15"/>
        <v>3.888566185718028</v>
      </c>
      <c r="U11" s="191">
        <f t="shared" si="16"/>
        <v>3.8887507850298402</v>
      </c>
      <c r="V11" s="208">
        <f t="shared" si="17"/>
        <v>4.3169753424657529</v>
      </c>
      <c r="W11" s="191">
        <f t="shared" si="18"/>
        <v>4.3173548719475869</v>
      </c>
      <c r="X11" s="3">
        <f t="shared" si="19"/>
        <v>-5.6412879364664548E-4</v>
      </c>
      <c r="Y11" s="234">
        <f>IF('Hot Water Calcs'!$I$10="gas",((125-$C11)*8.341*$B11*$H11/10^5/0.62)*'Hot Water Calcs'!$G$12,((125-$C11)*8.341*$B11*$H11/3412/0.95)*'Hot Water Calcs'!$G$12)</f>
        <v>138.54046364305222</v>
      </c>
      <c r="Z11" s="236">
        <f>IF('Hot Water Calcs'!$I$10="gas",((125-$E11)*8.341*$I11*$B11/10^5/EFuse)*'Hot Water Calcs'!$F$12,((125-$E11)*8.341*$I11*$B11/3412/EFuse)*'Hot Water Calcs'!$F$12)</f>
        <v>116.7367650517201</v>
      </c>
      <c r="AA11" s="292">
        <f t="shared" si="20"/>
        <v>44.939453052858923</v>
      </c>
      <c r="AB11" s="293">
        <f t="shared" si="21"/>
        <v>38.478796209720336</v>
      </c>
    </row>
    <row r="12" spans="1:28" x14ac:dyDescent="0.35">
      <c r="A12" s="17" t="s">
        <v>40</v>
      </c>
      <c r="B12" s="167">
        <v>30</v>
      </c>
      <c r="C12" s="168">
        <f>IF($A$2="Jacksonville",VLOOKUP(A12,Tmains!$A$3:$E$14,2,FALSE),IF($A$2="Tallahassee",VLOOKUP(A12,Tmains!$A$3:$E$14,3,FALSE),IF($A$2="Miami", VLOOKUP(A12,Tmains!$A$3:$E$14,4,FALSE), VLOOKUP(A12,Tmains!$A$3:$E$14,5,FALSE))))</f>
        <v>79.62</v>
      </c>
      <c r="D12" s="140">
        <f>IF('Hot Water Calcs'!$B$12="yes",Ifrac*(DWHRinT-C12)*DWHReff*PLC*LocF*FixF,0)</f>
        <v>0</v>
      </c>
      <c r="E12" s="220">
        <f t="shared" si="0"/>
        <v>79.62</v>
      </c>
      <c r="F12" s="176">
        <f t="shared" si="1"/>
        <v>0.55927721463199642</v>
      </c>
      <c r="G12" s="177">
        <f t="shared" si="2"/>
        <v>0.55927721463199642</v>
      </c>
      <c r="H12" s="171">
        <f t="shared" si="3"/>
        <v>41.939840988846143</v>
      </c>
      <c r="I12" s="174">
        <f t="shared" si="4"/>
        <v>36.00679352818895</v>
      </c>
      <c r="J12" s="3">
        <f t="shared" si="5"/>
        <v>5.9330474606571926</v>
      </c>
      <c r="K12" s="197">
        <f t="shared" si="6"/>
        <v>56.145405379017156</v>
      </c>
      <c r="L12" s="171">
        <f t="shared" si="7"/>
        <v>24.94376377258704</v>
      </c>
      <c r="M12" s="174">
        <f t="shared" si="8"/>
        <v>24.94376377258704</v>
      </c>
      <c r="N12" s="171">
        <f t="shared" si="9"/>
        <v>6.5929017660564941</v>
      </c>
      <c r="O12" s="174">
        <f t="shared" si="10"/>
        <v>0.65929017660564948</v>
      </c>
      <c r="P12" s="171">
        <f t="shared" si="11"/>
        <v>2.1976339220188312</v>
      </c>
      <c r="Q12" s="174">
        <f t="shared" si="12"/>
        <v>2.1976339220188312</v>
      </c>
      <c r="R12" s="190">
        <f t="shared" si="13"/>
        <v>8.7905356880753249</v>
      </c>
      <c r="S12" s="191">
        <f t="shared" si="14"/>
        <v>2.8569240986244808</v>
      </c>
      <c r="T12" s="208">
        <f t="shared" si="15"/>
        <v>3.888566185718028</v>
      </c>
      <c r="U12" s="191">
        <f t="shared" si="16"/>
        <v>3.8887507850298402</v>
      </c>
      <c r="V12" s="208">
        <f t="shared" si="17"/>
        <v>4.3169753424657529</v>
      </c>
      <c r="W12" s="191">
        <f t="shared" si="18"/>
        <v>4.3173548719475869</v>
      </c>
      <c r="X12" s="3">
        <f t="shared" si="19"/>
        <v>-5.6412879364664548E-4</v>
      </c>
      <c r="Y12" s="234">
        <f>IF('Hot Water Calcs'!$I$10="gas",((125-$C12)*8.341*$B12*$H12/10^5/0.62)*'Hot Water Calcs'!$G$12,((125-$C12)*8.341*$B12*$H12/3412/0.95)*'Hot Water Calcs'!$G$12)</f>
        <v>146.92578481976813</v>
      </c>
      <c r="Z12" s="236">
        <f>IF('Hot Water Calcs'!$I$10="gas",((125-$E12)*8.341*$I12*$B12/10^5/EFuse)*'Hot Water Calcs'!$F$12,((125-$E12)*8.341*$I12*$B12/3412/EFuse)*'Hot Water Calcs'!$F$12)</f>
        <v>123.61801446485877</v>
      </c>
      <c r="AA12" s="292">
        <f t="shared" si="20"/>
        <v>44.939453052858923</v>
      </c>
      <c r="AB12" s="293">
        <f t="shared" si="21"/>
        <v>38.478796209720336</v>
      </c>
    </row>
    <row r="13" spans="1:28" x14ac:dyDescent="0.35">
      <c r="A13" s="17" t="s">
        <v>41</v>
      </c>
      <c r="B13" s="166">
        <v>31</v>
      </c>
      <c r="C13" s="168">
        <f>IF($A$2="Jacksonville",VLOOKUP(A13,Tmains!$A$3:$E$14,2,FALSE),IF($A$2="Tallahassee",VLOOKUP(A13,Tmains!$A$3:$E$14,3,FALSE),IF($A$2="Miami", VLOOKUP(A13,Tmains!$A$3:$E$14,4,FALSE), VLOOKUP(A13,Tmains!$A$3:$E$14,5,FALSE))))</f>
        <v>75.41</v>
      </c>
      <c r="D13" s="140">
        <f>IF('Hot Water Calcs'!$B$12="yes",Ifrac*(DWHRinT-C13)*DWHReff*PLC*LocF*FixF,0)</f>
        <v>0</v>
      </c>
      <c r="E13" s="220">
        <f t="shared" si="0"/>
        <v>75.41</v>
      </c>
      <c r="F13" s="176">
        <f t="shared" si="1"/>
        <v>0.59669288162936085</v>
      </c>
      <c r="G13" s="177">
        <f t="shared" si="2"/>
        <v>0.59669288162936085</v>
      </c>
      <c r="H13" s="171">
        <f t="shared" si="3"/>
        <v>44.196666909852119</v>
      </c>
      <c r="I13" s="174">
        <f t="shared" si="4"/>
        <v>37.866660607471545</v>
      </c>
      <c r="J13" s="3">
        <f t="shared" si="5"/>
        <v>6.3300063023805748</v>
      </c>
      <c r="K13" s="197">
        <f t="shared" si="6"/>
        <v>59.045496747487924</v>
      </c>
      <c r="L13" s="171">
        <f t="shared" si="7"/>
        <v>26.612502520669494</v>
      </c>
      <c r="M13" s="174">
        <f t="shared" si="8"/>
        <v>26.612502520669494</v>
      </c>
      <c r="N13" s="171">
        <f t="shared" si="9"/>
        <v>7.0339671457491377</v>
      </c>
      <c r="O13" s="174">
        <f t="shared" si="10"/>
        <v>0.70339671457491382</v>
      </c>
      <c r="P13" s="171">
        <f t="shared" si="11"/>
        <v>2.3446557152497123</v>
      </c>
      <c r="Q13" s="174">
        <f t="shared" si="12"/>
        <v>2.3446557152497123</v>
      </c>
      <c r="R13" s="190">
        <f t="shared" si="13"/>
        <v>9.3786228609988491</v>
      </c>
      <c r="S13" s="191">
        <f t="shared" si="14"/>
        <v>3.0480524298246259</v>
      </c>
      <c r="T13" s="208">
        <f t="shared" si="15"/>
        <v>3.888566185718028</v>
      </c>
      <c r="U13" s="191">
        <f t="shared" si="16"/>
        <v>3.8887507850298402</v>
      </c>
      <c r="V13" s="208">
        <f t="shared" si="17"/>
        <v>4.3169753424657529</v>
      </c>
      <c r="W13" s="191">
        <f t="shared" si="18"/>
        <v>4.3173548719475869</v>
      </c>
      <c r="X13" s="3">
        <f t="shared" si="19"/>
        <v>-5.6412879364664548E-4</v>
      </c>
      <c r="Y13" s="234">
        <f>IF('Hot Water Calcs'!$I$10="gas",((125-$C13)*8.341*$B13*$H13/10^5/0.62)*'Hot Water Calcs'!$G$12,((125-$C13)*8.341*$B13*$H13/3412/0.95)*'Hot Water Calcs'!$G$12)</f>
        <v>174.83598064723705</v>
      </c>
      <c r="Z13" s="236">
        <f>IF('Hot Water Calcs'!$I$10="gas",((125-$E13)*8.341*$I13*$B13/10^5/EFuse)*'Hot Water Calcs'!$F$12,((125-$E13)*8.341*$I13*$B13/3412/EFuse)*'Hot Water Calcs'!$F$12)</f>
        <v>146.79943307838528</v>
      </c>
      <c r="AA13" s="292">
        <f t="shared" si="20"/>
        <v>44.939453052858923</v>
      </c>
      <c r="AB13" s="293">
        <f t="shared" si="21"/>
        <v>38.478796209720336</v>
      </c>
    </row>
    <row r="14" spans="1:28" x14ac:dyDescent="0.35">
      <c r="A14" s="17" t="s">
        <v>42</v>
      </c>
      <c r="B14" s="167">
        <v>30</v>
      </c>
      <c r="C14" s="168">
        <f>IF($A$2="Jacksonville",VLOOKUP(A14,Tmains!$A$3:$E$14,2,FALSE),IF($A$2="Tallahassee",VLOOKUP(A14,Tmains!$A$3:$E$14,3,FALSE),IF($A$2="Miami", VLOOKUP(A14,Tmains!$A$3:$E$14,4,FALSE), VLOOKUP(A14,Tmains!$A$3:$E$14,5,FALSE))))</f>
        <v>70.52</v>
      </c>
      <c r="D14" s="140">
        <f>IF('Hot Water Calcs'!$B$12="yes",Ifrac*(DWHRinT-C14)*DWHReff*PLC*LocF*FixF,0)</f>
        <v>0</v>
      </c>
      <c r="E14" s="220">
        <f t="shared" si="0"/>
        <v>70.52</v>
      </c>
      <c r="F14" s="176">
        <f t="shared" si="1"/>
        <v>0.63289280469897213</v>
      </c>
      <c r="G14" s="177">
        <f t="shared" si="2"/>
        <v>0.63289280469897213</v>
      </c>
      <c r="H14" s="171">
        <f t="shared" si="3"/>
        <v>46.380161987667407</v>
      </c>
      <c r="I14" s="174">
        <f t="shared" si="4"/>
        <v>39.666095191772158</v>
      </c>
      <c r="J14" s="3">
        <f t="shared" si="5"/>
        <v>6.7140667958952491</v>
      </c>
      <c r="K14" s="197">
        <f t="shared" si="6"/>
        <v>61.851355706006039</v>
      </c>
      <c r="L14" s="171">
        <f t="shared" si="7"/>
        <v>28.227019089574156</v>
      </c>
      <c r="M14" s="174">
        <f t="shared" si="8"/>
        <v>28.227019089574156</v>
      </c>
      <c r="N14" s="171">
        <f t="shared" si="9"/>
        <v>7.4607010274321039</v>
      </c>
      <c r="O14" s="174">
        <f t="shared" si="10"/>
        <v>0.74607010274321039</v>
      </c>
      <c r="P14" s="171">
        <f t="shared" si="11"/>
        <v>2.4869003424773677</v>
      </c>
      <c r="Q14" s="174">
        <f t="shared" si="12"/>
        <v>2.4869003424773677</v>
      </c>
      <c r="R14" s="190">
        <f t="shared" si="13"/>
        <v>9.9476013699094707</v>
      </c>
      <c r="S14" s="191">
        <f t="shared" si="14"/>
        <v>3.2329704452205781</v>
      </c>
      <c r="T14" s="208">
        <f t="shared" si="15"/>
        <v>3.888566185718028</v>
      </c>
      <c r="U14" s="191">
        <f t="shared" si="16"/>
        <v>3.8887507850298402</v>
      </c>
      <c r="V14" s="208">
        <f t="shared" si="17"/>
        <v>4.3169753424657529</v>
      </c>
      <c r="W14" s="191">
        <f t="shared" si="18"/>
        <v>4.3173548719475869</v>
      </c>
      <c r="X14" s="3">
        <f t="shared" si="19"/>
        <v>-5.6412879364664548E-4</v>
      </c>
      <c r="Y14" s="234">
        <f>IF('Hot Water Calcs'!$I$10="gas",((125-$C14)*8.341*$B14*$H14/10^5/0.62)*'Hot Water Calcs'!$G$12,((125-$C14)*8.341*$B14*$H14/3412/0.95)*'Hot Water Calcs'!$G$12)</f>
        <v>195.06354299185546</v>
      </c>
      <c r="Z14" s="236">
        <f>IF('Hot Water Calcs'!$I$10="gas",((125-$E14)*8.341*$I14*$B14/10^5/EFuse)*'Hot Water Calcs'!$F$12,((125-$E14)*8.341*$I14*$B14/3412/EFuse)*'Hot Water Calcs'!$F$12)</f>
        <v>163.4893143641961</v>
      </c>
      <c r="AA14" s="292">
        <f t="shared" si="20"/>
        <v>44.939453052858923</v>
      </c>
      <c r="AB14" s="293">
        <f t="shared" si="21"/>
        <v>38.478796209720336</v>
      </c>
    </row>
    <row r="15" spans="1:28" x14ac:dyDescent="0.35">
      <c r="A15" s="145" t="s">
        <v>43</v>
      </c>
      <c r="B15" s="169">
        <v>31</v>
      </c>
      <c r="C15" s="170">
        <f>IF($A$2="Jacksonville",VLOOKUP(A15,Tmains!$A$3:$E$14,2,FALSE),IF($A$2="Tallahassee",VLOOKUP(A15,Tmains!$A$3:$E$14,3,FALSE),IF($A$2="Miami", VLOOKUP(A15,Tmains!$A$3:$E$14,4,FALSE), VLOOKUP(A15,Tmains!$A$3:$E$14,5,FALSE))))</f>
        <v>66.23</v>
      </c>
      <c r="D15" s="173">
        <f>IF('Hot Water Calcs'!$B$12="yes",Ifrac*(DWHRinT-C15)*DWHReff*PLC*LocF*FixF,0)</f>
        <v>0</v>
      </c>
      <c r="E15" s="221">
        <f t="shared" si="0"/>
        <v>66.23</v>
      </c>
      <c r="F15" s="178">
        <f t="shared" si="1"/>
        <v>0.65969031818955248</v>
      </c>
      <c r="G15" s="179">
        <f t="shared" si="2"/>
        <v>0.65969031818955248</v>
      </c>
      <c r="H15" s="172">
        <f t="shared" si="3"/>
        <v>47.996525610646763</v>
      </c>
      <c r="I15" s="175">
        <f t="shared" si="4"/>
        <v>40.998152512874377</v>
      </c>
      <c r="J15" s="37">
        <f t="shared" si="5"/>
        <v>6.9983730977723866</v>
      </c>
      <c r="K15" s="199">
        <f t="shared" si="6"/>
        <v>63.928433139263767</v>
      </c>
      <c r="L15" s="172">
        <f t="shared" si="7"/>
        <v>29.42218819125404</v>
      </c>
      <c r="M15" s="175">
        <f t="shared" si="8"/>
        <v>29.42218819125404</v>
      </c>
      <c r="N15" s="172">
        <f t="shared" si="9"/>
        <v>7.7765969184067085</v>
      </c>
      <c r="O15" s="175">
        <f t="shared" si="10"/>
        <v>0.77765969184067085</v>
      </c>
      <c r="P15" s="172">
        <f t="shared" si="11"/>
        <v>2.5921989728022363</v>
      </c>
      <c r="Q15" s="175">
        <f t="shared" si="12"/>
        <v>2.5921989728022363</v>
      </c>
      <c r="R15" s="172">
        <f t="shared" si="13"/>
        <v>10.368795891208945</v>
      </c>
      <c r="S15" s="194">
        <f t="shared" si="14"/>
        <v>3.3698586646429072</v>
      </c>
      <c r="T15" s="209">
        <f t="shared" si="15"/>
        <v>3.888566185718028</v>
      </c>
      <c r="U15" s="194">
        <f t="shared" si="16"/>
        <v>3.8887507850298402</v>
      </c>
      <c r="V15" s="209">
        <f t="shared" si="17"/>
        <v>4.3169753424657529</v>
      </c>
      <c r="W15" s="194">
        <f t="shared" si="18"/>
        <v>4.3173548719475869</v>
      </c>
      <c r="X15" s="37">
        <f t="shared" si="19"/>
        <v>-5.6412879364664548E-4</v>
      </c>
      <c r="Y15" s="238">
        <f>IF('Hot Water Calcs'!$I$10="gas",((125-$C15)*8.341*$B15*$H15/10^5/0.62)*'Hot Water Calcs'!$G$12,((125-$C15)*8.341*$B15*$H15/3412/0.95)*'Hot Water Calcs'!$G$12)</f>
        <v>225.01562614398651</v>
      </c>
      <c r="Z15" s="236">
        <f>IF('Hot Water Calcs'!$I$10="gas",((125-$E15)*8.341*$I15*$B15/10^5/EFuse)*'Hot Water Calcs'!$F$12,((125-$E15)*8.341*$I15*$B15/3412/EFuse)*'Hot Water Calcs'!$F$12)</f>
        <v>188.36197712729887</v>
      </c>
      <c r="AA15" s="292">
        <f t="shared" si="20"/>
        <v>44.939453052858923</v>
      </c>
      <c r="AB15" s="293">
        <f t="shared" si="21"/>
        <v>38.478796209720336</v>
      </c>
    </row>
    <row r="16" spans="1:28" x14ac:dyDescent="0.35">
      <c r="B16" s="180" t="s">
        <v>207</v>
      </c>
      <c r="C16" s="181">
        <f t="shared" ref="C16:F16" si="22">SUMPRODUCT($B$4:$B$15,C4:C15)/365</f>
        <v>72.972109589041111</v>
      </c>
      <c r="D16" s="183">
        <f>SUMPRODUCT($B$4:$B$15,D4:D15)/365</f>
        <v>0</v>
      </c>
      <c r="E16" s="222">
        <f t="shared" si="22"/>
        <v>72.972109589041111</v>
      </c>
      <c r="F16" s="182">
        <f t="shared" si="22"/>
        <v>0.60900745082954566</v>
      </c>
      <c r="G16" s="182">
        <f t="shared" ref="G16:M16" si="23">SUMPRODUCT($B$4:$B$15,G4:G15)/365</f>
        <v>0.60900745082954566</v>
      </c>
      <c r="H16" s="184">
        <f t="shared" si="23"/>
        <v>44.939453052858923</v>
      </c>
      <c r="I16" s="185">
        <f t="shared" si="23"/>
        <v>38.478796209720336</v>
      </c>
      <c r="J16" s="183">
        <f t="shared" si="23"/>
        <v>6.4606568431385982</v>
      </c>
      <c r="K16" s="198">
        <f t="shared" si="23"/>
        <v>59.999999999999972</v>
      </c>
      <c r="L16" s="184">
        <f t="shared" si="23"/>
        <v>27.161732306997749</v>
      </c>
      <c r="M16" s="185">
        <f t="shared" si="23"/>
        <v>27.161732306997749</v>
      </c>
      <c r="N16" s="184">
        <f t="shared" ref="N16" si="24">SUMPRODUCT($B$4:$B$15,N4:N15)/365</f>
        <v>7.179134413258053</v>
      </c>
      <c r="O16" s="185">
        <f>SUMPRODUCT($B$4:$B$15,O4:O15)/365</f>
        <v>0.71791344132580537</v>
      </c>
      <c r="P16" s="184">
        <f>SUMPRODUCT($B$4:$B$15,P4:P15)/365</f>
        <v>2.3930448044193509</v>
      </c>
      <c r="Q16" s="185">
        <f t="shared" ref="Q16" si="25">SUMPRODUCT($B$4:$B$15,Q4:Q15)/365</f>
        <v>2.3930448044193509</v>
      </c>
      <c r="R16" s="184">
        <f>SUMPRODUCT($B$4:$B$15,R4:R15)/365</f>
        <v>9.5721792176774034</v>
      </c>
      <c r="S16" s="185">
        <f>SUMPRODUCT($B$4:$B$15,S4:S15)/365</f>
        <v>3.1109582457451563</v>
      </c>
      <c r="T16" s="184">
        <f t="shared" ref="T16:W16" si="26">SUMPRODUCT($B$4:$B$15,T4:T15)/365</f>
        <v>3.888566185718028</v>
      </c>
      <c r="U16" s="185">
        <f t="shared" si="26"/>
        <v>3.8887507850298402</v>
      </c>
      <c r="V16" s="184">
        <f t="shared" si="26"/>
        <v>4.3169753424657529</v>
      </c>
      <c r="W16" s="185">
        <f t="shared" si="26"/>
        <v>4.317354871947586</v>
      </c>
      <c r="X16" s="183">
        <f>SUMPRODUCT($B$4:$B$15,X4:X15)/365</f>
        <v>-5.6412879364664548E-4</v>
      </c>
      <c r="Y16" s="235">
        <f>SUM(Y4:Y15)</f>
        <v>2215.4553176859572</v>
      </c>
      <c r="Z16" s="237">
        <f>SUM(Z4:Z15)</f>
        <v>1858.4034682226097</v>
      </c>
      <c r="AA16" s="294">
        <f t="shared" si="20"/>
        <v>44.939453052858923</v>
      </c>
      <c r="AB16" s="295">
        <f t="shared" si="21"/>
        <v>38.478796209720336</v>
      </c>
    </row>
    <row r="17" spans="1:25" x14ac:dyDescent="0.35">
      <c r="A17" s="53"/>
      <c r="I17" s="211"/>
      <c r="R17" s="41"/>
      <c r="S17" s="41"/>
      <c r="T17" s="214"/>
      <c r="U17" s="233" t="str">
        <f>CONCATENATE("RD Avg ", "(",ROUND($H$16,1)," ","gpd)")</f>
        <v>RD Avg (44.9 gpd)</v>
      </c>
      <c r="V17" s="214"/>
      <c r="Y17" s="233" t="str">
        <f>CONCATENATE("RD Tot ", "(",ROUND($Y$16,0)," ",$Z$3,")")</f>
        <v>RD Tot (2215 kWh)</v>
      </c>
    </row>
    <row r="18" spans="1:25" x14ac:dyDescent="0.35">
      <c r="F18" s="201"/>
      <c r="R18" s="203"/>
      <c r="S18" s="130"/>
      <c r="T18" s="128"/>
      <c r="U18" s="233" t="str">
        <f>CONCATENATE("PD Avg ", "(",ROUND($I$16,1)," ","gpd)")</f>
        <v>PD Avg (38.5 gpd)</v>
      </c>
      <c r="V18" s="128"/>
      <c r="Y18" s="233" t="str">
        <f>CONCATENATE("PD Tot ", "(",ROUND($Z$16,0)," ",$Z$3,")")</f>
        <v>PD Tot (1858 kWh)</v>
      </c>
    </row>
    <row r="19" spans="1:25" x14ac:dyDescent="0.35">
      <c r="R19" s="203"/>
      <c r="S19" s="130"/>
      <c r="T19" s="128"/>
      <c r="U19" s="130"/>
      <c r="V19" s="128"/>
      <c r="W19" s="1"/>
    </row>
    <row r="20" spans="1:25" x14ac:dyDescent="0.35">
      <c r="R20" s="203"/>
      <c r="S20" s="130"/>
      <c r="T20" s="128"/>
      <c r="U20" s="130"/>
      <c r="V20" s="128"/>
      <c r="W20" s="1"/>
    </row>
    <row r="21" spans="1:25" x14ac:dyDescent="0.35">
      <c r="R21" s="203"/>
      <c r="S21" s="130"/>
      <c r="T21" s="128"/>
      <c r="U21" s="130"/>
      <c r="V21" s="128"/>
      <c r="W21" s="1"/>
    </row>
    <row r="22" spans="1:25" x14ac:dyDescent="0.35">
      <c r="R22" s="203"/>
      <c r="S22" s="130"/>
      <c r="T22" s="128"/>
      <c r="U22" s="130"/>
      <c r="V22" s="128"/>
      <c r="W22" s="1"/>
    </row>
    <row r="23" spans="1:25" x14ac:dyDescent="0.35">
      <c r="R23" s="203"/>
      <c r="S23" s="130"/>
      <c r="T23" s="128"/>
      <c r="U23" s="130"/>
      <c r="V23" s="128"/>
      <c r="W23" s="1"/>
    </row>
    <row r="24" spans="1:25" x14ac:dyDescent="0.35">
      <c r="R24" s="203"/>
      <c r="S24" s="130"/>
      <c r="T24" s="128"/>
      <c r="U24" s="130"/>
      <c r="V24" s="128"/>
      <c r="W24" s="1"/>
    </row>
    <row r="25" spans="1:25" x14ac:dyDescent="0.35">
      <c r="R25" s="203"/>
      <c r="S25" s="130"/>
      <c r="T25" s="128"/>
      <c r="U25" s="130"/>
      <c r="V25" s="128"/>
      <c r="W25" s="1"/>
    </row>
    <row r="26" spans="1:25" x14ac:dyDescent="0.35">
      <c r="R26" s="203"/>
      <c r="S26" s="130"/>
      <c r="T26" s="128"/>
      <c r="U26" s="130"/>
      <c r="V26" s="128"/>
      <c r="W26" s="1"/>
    </row>
    <row r="27" spans="1:25" x14ac:dyDescent="0.35">
      <c r="R27" s="203"/>
      <c r="S27" s="130"/>
      <c r="T27" s="128"/>
      <c r="U27" s="130"/>
      <c r="V27" s="128"/>
      <c r="W27" s="1"/>
    </row>
    <row r="28" spans="1:25" x14ac:dyDescent="0.35">
      <c r="R28" s="203"/>
      <c r="S28" s="130"/>
      <c r="T28" s="128"/>
      <c r="U28" s="130"/>
      <c r="V28" s="128"/>
      <c r="W28" s="1"/>
    </row>
    <row r="29" spans="1:25" x14ac:dyDescent="0.35">
      <c r="R29" s="203"/>
      <c r="S29" s="130"/>
      <c r="T29" s="128"/>
      <c r="U29" s="130"/>
      <c r="V29" s="128"/>
      <c r="W29" s="1"/>
    </row>
  </sheetData>
  <sheetProtection algorithmName="SHA-512" hashValue="nXSKM/ZBghiAMXtt/diF8YOlXWOupNW+s9bsR6WiA8Im1NbktIIzfhMyzpQOyRFAVKnxQsfOC+U+YuvkAe9VUg==" saltValue="A2Oi5uGWQFmBqwzuZ32Wwg==" spinCount="100000" sheet="1" objects="1" scenarios="1"/>
  <pageMargins left="0.7" right="0.7" top="0.75" bottom="0.75" header="0.3" footer="0.3"/>
  <pageSetup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workbookViewId="0">
      <selection activeCell="A18" sqref="A18"/>
    </sheetView>
  </sheetViews>
  <sheetFormatPr defaultRowHeight="14.5" x14ac:dyDescent="0.35"/>
  <cols>
    <col min="1" max="1" width="14.453125" customWidth="1"/>
    <col min="5" max="6" width="8.7265625" style="1"/>
    <col min="7" max="7" width="8.7265625" style="1" customWidth="1"/>
    <col min="8" max="8" width="2.6328125" customWidth="1"/>
    <col min="10" max="11" width="9.08984375" style="1"/>
    <col min="12" max="14" width="8.7265625" style="1"/>
    <col min="15" max="15" width="1.6328125" style="1" customWidth="1"/>
    <col min="18" max="21" width="9.08984375" style="1" customWidth="1"/>
    <col min="22" max="22" width="1.6328125" customWidth="1"/>
    <col min="27" max="29" width="8.7265625" style="1"/>
    <col min="30" max="30" width="1.6328125" customWidth="1"/>
    <col min="31" max="31" width="10.453125" customWidth="1"/>
  </cols>
  <sheetData>
    <row r="1" spans="1:37" s="1" customFormat="1" x14ac:dyDescent="0.35">
      <c r="A1" s="1" t="s">
        <v>44</v>
      </c>
      <c r="I1" s="106" t="s">
        <v>113</v>
      </c>
      <c r="J1" s="52"/>
      <c r="K1" s="52"/>
      <c r="L1" s="52"/>
      <c r="M1" s="52"/>
      <c r="N1" s="52"/>
      <c r="O1" s="52"/>
      <c r="P1" s="1" t="s">
        <v>45</v>
      </c>
      <c r="W1" s="1" t="s">
        <v>47</v>
      </c>
      <c r="AE1" s="1" t="s">
        <v>130</v>
      </c>
      <c r="AF1" s="89" t="s">
        <v>222</v>
      </c>
    </row>
    <row r="2" spans="1:37" x14ac:dyDescent="0.35">
      <c r="A2" s="36" t="s">
        <v>29</v>
      </c>
      <c r="B2" s="36" t="s">
        <v>220</v>
      </c>
      <c r="C2" s="36" t="s">
        <v>221</v>
      </c>
      <c r="D2" s="36" t="s">
        <v>28</v>
      </c>
      <c r="E2" s="36" t="s">
        <v>219</v>
      </c>
      <c r="F2" s="36" t="s">
        <v>223</v>
      </c>
      <c r="G2" s="36" t="s">
        <v>225</v>
      </c>
      <c r="I2" s="36" t="s">
        <v>220</v>
      </c>
      <c r="J2" s="36" t="s">
        <v>221</v>
      </c>
      <c r="K2" s="36" t="s">
        <v>28</v>
      </c>
      <c r="L2" s="36" t="s">
        <v>219</v>
      </c>
      <c r="M2" s="36" t="s">
        <v>223</v>
      </c>
      <c r="N2" s="36" t="s">
        <v>225</v>
      </c>
      <c r="O2" s="41"/>
      <c r="P2" s="36" t="s">
        <v>220</v>
      </c>
      <c r="Q2" s="36" t="s">
        <v>221</v>
      </c>
      <c r="R2" s="36" t="s">
        <v>28</v>
      </c>
      <c r="S2" s="36" t="s">
        <v>219</v>
      </c>
      <c r="T2" s="36" t="s">
        <v>223</v>
      </c>
      <c r="U2" s="36" t="s">
        <v>225</v>
      </c>
      <c r="V2" s="41"/>
      <c r="W2" s="44" t="s">
        <v>48</v>
      </c>
      <c r="X2" s="36" t="s">
        <v>220</v>
      </c>
      <c r="Y2" s="36" t="s">
        <v>221</v>
      </c>
      <c r="Z2" s="36" t="s">
        <v>28</v>
      </c>
      <c r="AA2" s="36" t="s">
        <v>219</v>
      </c>
      <c r="AB2" s="36" t="s">
        <v>223</v>
      </c>
      <c r="AC2" s="36" t="s">
        <v>225</v>
      </c>
      <c r="AE2" s="36" t="s">
        <v>220</v>
      </c>
      <c r="AF2" s="36" t="s">
        <v>221</v>
      </c>
      <c r="AG2" s="36" t="s">
        <v>28</v>
      </c>
      <c r="AH2" s="36" t="s">
        <v>219</v>
      </c>
      <c r="AI2" s="44" t="s">
        <v>223</v>
      </c>
      <c r="AJ2" s="36" t="s">
        <v>225</v>
      </c>
    </row>
    <row r="3" spans="1:37" x14ac:dyDescent="0.35">
      <c r="A3" s="2" t="s">
        <v>32</v>
      </c>
      <c r="B3" s="3">
        <v>64.53</v>
      </c>
      <c r="C3" s="3">
        <v>63.43</v>
      </c>
      <c r="D3" s="3">
        <v>76.48</v>
      </c>
      <c r="E3" s="216">
        <v>69.98</v>
      </c>
      <c r="F3" s="216">
        <v>70.22</v>
      </c>
      <c r="G3" s="216">
        <v>68.400000000000006</v>
      </c>
      <c r="I3" s="107">
        <f t="shared" ref="I3:I14" si="0">(1-((Tset-Tuse)/(Tset-(B3))))</f>
        <v>0.66925748304944599</v>
      </c>
      <c r="J3" s="107">
        <f t="shared" ref="J3:J14" si="1">(1-((Tset-Tuse)/(Tset-(C3))))</f>
        <v>0.67516647718044509</v>
      </c>
      <c r="K3" s="107">
        <f t="shared" ref="K3:K14" si="2">(1-((Tset-Tuse)/(Tset-(D3))))</f>
        <v>0.58779884583676834</v>
      </c>
      <c r="L3" s="107">
        <f t="shared" ref="L3:L14" si="3">(1-((Tset-Tuse)/(Tset-(E3))))</f>
        <v>0.63649581970192659</v>
      </c>
      <c r="M3" s="107">
        <f t="shared" ref="M3:M14" si="4">(1-((Tset-Tuse)/(Tset-(F3))))</f>
        <v>0.63490324936108067</v>
      </c>
      <c r="N3" s="107">
        <f t="shared" ref="N3:N14" si="5">(1-((Tset-Tuse)/(Tset-(G3))))</f>
        <v>0.64664310954063597</v>
      </c>
      <c r="O3" s="130"/>
      <c r="P3" s="38">
        <f t="shared" ref="P3:P14" si="6">(refDWgpd+refCWgpd+I3*( 23.98 + 11.88*Nbr))*Ndu</f>
        <v>48.106672667591752</v>
      </c>
      <c r="Q3" s="38">
        <f t="shared" ref="Q3:Q14" si="7">(refDWgpd+refCWgpd+J3*( 23.98 + 11.88*Nbr))*Ndu</f>
        <v>48.458966897681918</v>
      </c>
      <c r="R3" s="38">
        <f t="shared" ref="R3:R14" si="8">(refDWgpd+refCWgpd+K3*( 23.98 + 11.88*Nbr))*Ndu</f>
        <v>43.250108716971909</v>
      </c>
      <c r="S3" s="38">
        <f t="shared" ref="S3:S14" si="9">(refDWgpd+refCWgpd+L3*( 23.98 + 11.88*Nbr))*Ndu</f>
        <v>46.153422298812643</v>
      </c>
      <c r="T3" s="38">
        <f t="shared" ref="T3:T14" si="10">(refDWgpd+refCWgpd+M3*( 23.98 + 11.88*Nbr))*Ndu</f>
        <v>46.058473255091414</v>
      </c>
      <c r="U3" s="38">
        <f t="shared" ref="U3:U14" si="11">(refDWgpd+refCWgpd+N3*( 23.98 + 11.88*Nbr))*Ndu</f>
        <v>46.758403718996497</v>
      </c>
      <c r="V3" s="38"/>
      <c r="W3">
        <v>31</v>
      </c>
      <c r="X3" s="43">
        <f t="shared" ref="X3:X14" si="12">$W3*P3</f>
        <v>1491.3068526953443</v>
      </c>
      <c r="Y3" s="43">
        <f t="shared" ref="Y3:Y14" si="13">$W3*Q3</f>
        <v>1502.2279738281395</v>
      </c>
      <c r="Z3" s="43">
        <f t="shared" ref="Z3:Z14" si="14">$W3*R3</f>
        <v>1340.7533702261292</v>
      </c>
      <c r="AA3" s="43">
        <f t="shared" ref="AA3:AA14" si="15">$W3*S3</f>
        <v>1430.756091263192</v>
      </c>
      <c r="AB3" s="43">
        <f t="shared" ref="AB3:AC14" si="16">$W3*T3</f>
        <v>1427.8126709078338</v>
      </c>
      <c r="AC3" s="43">
        <f t="shared" si="16"/>
        <v>1449.5105152888914</v>
      </c>
      <c r="AE3" s="125">
        <f>X3*8.341*(125-B3)</f>
        <v>752185.75301532785</v>
      </c>
      <c r="AF3" s="125">
        <f>Y3*8.341*(125-C3)</f>
        <v>771477.24292366044</v>
      </c>
      <c r="AG3" s="125">
        <f>Z3*8.341*(125-D3)</f>
        <v>542610.02173844399</v>
      </c>
      <c r="AH3" s="125">
        <f>AA3*8.341*(125-E3)</f>
        <v>656605.18937859009</v>
      </c>
      <c r="AI3" s="125">
        <f t="shared" ref="AI3:AJ14" si="17">AB3*8.341*(125-F3)</f>
        <v>652396.13703495392</v>
      </c>
      <c r="AJ3" s="125">
        <f t="shared" si="17"/>
        <v>684314.78397419467</v>
      </c>
    </row>
    <row r="4" spans="1:37" x14ac:dyDescent="0.35">
      <c r="A4" s="2" t="s">
        <v>33</v>
      </c>
      <c r="B4" s="3">
        <v>64.849999999999994</v>
      </c>
      <c r="C4" s="3">
        <v>63.67</v>
      </c>
      <c r="D4" s="3">
        <v>77.08</v>
      </c>
      <c r="E4" s="216">
        <v>70.47</v>
      </c>
      <c r="F4" s="216">
        <v>70.78</v>
      </c>
      <c r="G4" s="216">
        <v>68.84</v>
      </c>
      <c r="I4" s="107">
        <f t="shared" si="0"/>
        <v>0.66749792186201162</v>
      </c>
      <c r="J4" s="107">
        <f t="shared" si="1"/>
        <v>0.67389532039784772</v>
      </c>
      <c r="K4" s="107">
        <f t="shared" si="2"/>
        <v>0.58263772954924875</v>
      </c>
      <c r="L4" s="107">
        <f t="shared" si="3"/>
        <v>0.63322941500091701</v>
      </c>
      <c r="M4" s="107">
        <f t="shared" si="4"/>
        <v>0.63113242345997789</v>
      </c>
      <c r="N4" s="107">
        <f t="shared" si="5"/>
        <v>0.64387464387464388</v>
      </c>
      <c r="P4" s="38">
        <f t="shared" si="6"/>
        <v>48.001767629596912</v>
      </c>
      <c r="Q4" s="38">
        <f t="shared" si="7"/>
        <v>48.383180530303463</v>
      </c>
      <c r="R4" s="38">
        <f t="shared" si="8"/>
        <v>42.942402963909991</v>
      </c>
      <c r="S4" s="38">
        <f t="shared" si="9"/>
        <v>45.958679250538452</v>
      </c>
      <c r="T4" s="38">
        <f t="shared" si="10"/>
        <v>45.833656614867664</v>
      </c>
      <c r="U4" s="38">
        <f t="shared" si="11"/>
        <v>46.593347795990049</v>
      </c>
      <c r="V4" s="38"/>
      <c r="W4">
        <v>28</v>
      </c>
      <c r="X4" s="43">
        <f t="shared" si="12"/>
        <v>1344.0494936287137</v>
      </c>
      <c r="Y4" s="43">
        <f t="shared" si="13"/>
        <v>1354.7290548484971</v>
      </c>
      <c r="Z4" s="43">
        <f t="shared" si="14"/>
        <v>1202.3872829894797</v>
      </c>
      <c r="AA4" s="43">
        <f t="shared" si="15"/>
        <v>1286.8430190150766</v>
      </c>
      <c r="AB4" s="43">
        <f t="shared" si="16"/>
        <v>1283.3423852162946</v>
      </c>
      <c r="AC4" s="43">
        <f t="shared" si="16"/>
        <v>1304.6137382877214</v>
      </c>
      <c r="AE4" s="125">
        <f t="shared" ref="AE4:AE14" si="18">X4*8.341*(125-B4)</f>
        <v>674324.61710537958</v>
      </c>
      <c r="AF4" s="125">
        <f t="shared" ref="AF4:AF14" si="19">Y4*8.341*(125-C4)</f>
        <v>693016.43020131229</v>
      </c>
      <c r="AG4" s="125">
        <f t="shared" ref="AG4:AG14" si="20">Z4*8.341*(125-D4)</f>
        <v>480595.06272973871</v>
      </c>
      <c r="AH4" s="125">
        <f t="shared" ref="AH4:AH14" si="21">AA4*8.341*(125-E4)</f>
        <v>585300.89710610721</v>
      </c>
      <c r="AI4" s="125">
        <f t="shared" si="17"/>
        <v>580390.33603853162</v>
      </c>
      <c r="AJ4" s="125">
        <f t="shared" si="17"/>
        <v>611120.94400981069</v>
      </c>
    </row>
    <row r="5" spans="1:37" x14ac:dyDescent="0.35">
      <c r="A5" s="2" t="s">
        <v>34</v>
      </c>
      <c r="B5" s="3">
        <v>67.5</v>
      </c>
      <c r="C5" s="3">
        <v>66.28</v>
      </c>
      <c r="D5" s="3">
        <v>78.98</v>
      </c>
      <c r="E5" s="216">
        <v>72.760000000000005</v>
      </c>
      <c r="F5" s="216">
        <v>73.25</v>
      </c>
      <c r="G5" s="216">
        <v>71.23</v>
      </c>
      <c r="I5" s="107">
        <f t="shared" si="0"/>
        <v>0.65217391304347827</v>
      </c>
      <c r="J5" s="107">
        <f t="shared" si="1"/>
        <v>0.65940054495912803</v>
      </c>
      <c r="K5" s="107">
        <f t="shared" si="2"/>
        <v>0.56540634506736198</v>
      </c>
      <c r="L5" s="107">
        <f t="shared" si="3"/>
        <v>0.61715160796324653</v>
      </c>
      <c r="M5" s="107">
        <f t="shared" si="4"/>
        <v>0.61352657004830924</v>
      </c>
      <c r="N5" s="107">
        <f t="shared" si="5"/>
        <v>0.62804537846382735</v>
      </c>
      <c r="P5" s="38">
        <f t="shared" si="6"/>
        <v>47.08815022383596</v>
      </c>
      <c r="Q5" s="38">
        <f t="shared" si="7"/>
        <v>47.519002018646994</v>
      </c>
      <c r="R5" s="38">
        <f t="shared" si="8"/>
        <v>41.915067821099903</v>
      </c>
      <c r="S5" s="38">
        <f t="shared" si="9"/>
        <v>45.000120394952539</v>
      </c>
      <c r="T5" s="38">
        <f t="shared" si="10"/>
        <v>44.783995634463977</v>
      </c>
      <c r="U5" s="38">
        <f t="shared" si="11"/>
        <v>45.649606992197171</v>
      </c>
      <c r="V5" s="38"/>
      <c r="W5">
        <v>31</v>
      </c>
      <c r="X5" s="43">
        <f t="shared" si="12"/>
        <v>1459.7326569389147</v>
      </c>
      <c r="Y5" s="43">
        <f t="shared" si="13"/>
        <v>1473.0890625780569</v>
      </c>
      <c r="Z5" s="43">
        <f t="shared" si="14"/>
        <v>1299.367102454097</v>
      </c>
      <c r="AA5" s="43">
        <f t="shared" si="15"/>
        <v>1395.0037322435287</v>
      </c>
      <c r="AB5" s="43">
        <f t="shared" si="16"/>
        <v>1388.3038646683833</v>
      </c>
      <c r="AC5" s="43">
        <f t="shared" si="16"/>
        <v>1415.1378167581122</v>
      </c>
      <c r="AE5" s="125">
        <f t="shared" si="18"/>
        <v>700098.73026283039</v>
      </c>
      <c r="AF5" s="125">
        <f t="shared" si="19"/>
        <v>721494.74634298088</v>
      </c>
      <c r="AG5" s="125">
        <f t="shared" si="20"/>
        <v>498765.72649223398</v>
      </c>
      <c r="AH5" s="125">
        <f t="shared" si="21"/>
        <v>607850.33306480444</v>
      </c>
      <c r="AI5" s="125">
        <f t="shared" si="17"/>
        <v>599256.8511965475</v>
      </c>
      <c r="AJ5" s="125">
        <f t="shared" si="17"/>
        <v>634683.041755485</v>
      </c>
    </row>
    <row r="6" spans="1:37" s="8" customFormat="1" x14ac:dyDescent="0.35">
      <c r="A6" s="9" t="s">
        <v>35</v>
      </c>
      <c r="B6" s="7">
        <v>71.790000000000006</v>
      </c>
      <c r="C6" s="7">
        <v>70.599999999999994</v>
      </c>
      <c r="D6" s="7">
        <v>81.7</v>
      </c>
      <c r="E6" s="216">
        <v>76.260000000000005</v>
      </c>
      <c r="F6" s="216">
        <v>76.989999999999995</v>
      </c>
      <c r="G6" s="216">
        <v>74.930000000000007</v>
      </c>
      <c r="I6" s="107">
        <f t="shared" si="0"/>
        <v>0.6241308024807366</v>
      </c>
      <c r="J6" s="107">
        <f t="shared" si="1"/>
        <v>0.63235294117647056</v>
      </c>
      <c r="K6" s="107">
        <f t="shared" si="2"/>
        <v>0.53810623556581982</v>
      </c>
      <c r="L6" s="107">
        <f t="shared" si="3"/>
        <v>0.5896594173163725</v>
      </c>
      <c r="M6" s="107">
        <f t="shared" si="4"/>
        <v>0.58342012080816508</v>
      </c>
      <c r="N6" s="107">
        <f t="shared" si="5"/>
        <v>0.60055921709606541</v>
      </c>
      <c r="O6" s="1"/>
      <c r="P6" s="40">
        <f t="shared" si="6"/>
        <v>45.416219972085301</v>
      </c>
      <c r="Q6" s="40">
        <f t="shared" si="7"/>
        <v>45.906423881124958</v>
      </c>
      <c r="R6" s="40">
        <f t="shared" si="8"/>
        <v>40.287435292617957</v>
      </c>
      <c r="S6" s="40">
        <f t="shared" si="9"/>
        <v>43.361035988585911</v>
      </c>
      <c r="T6" s="40">
        <f t="shared" si="10"/>
        <v>42.989049130766581</v>
      </c>
      <c r="U6" s="40">
        <f t="shared" si="11"/>
        <v>44.010882051451205</v>
      </c>
      <c r="V6" s="40"/>
      <c r="W6" s="8">
        <v>30</v>
      </c>
      <c r="X6" s="43">
        <f t="shared" si="12"/>
        <v>1362.4865991625591</v>
      </c>
      <c r="Y6" s="43">
        <f t="shared" si="13"/>
        <v>1377.1927164337487</v>
      </c>
      <c r="Z6" s="43">
        <f t="shared" si="14"/>
        <v>1208.6230587785387</v>
      </c>
      <c r="AA6" s="43">
        <f t="shared" si="15"/>
        <v>1300.8310796575774</v>
      </c>
      <c r="AB6" s="43">
        <f t="shared" si="16"/>
        <v>1289.6714739229974</v>
      </c>
      <c r="AC6" s="43">
        <f t="shared" si="16"/>
        <v>1320.3264615435362</v>
      </c>
      <c r="AE6" s="125">
        <f t="shared" si="18"/>
        <v>604705.08350354899</v>
      </c>
      <c r="AF6" s="125">
        <f t="shared" si="19"/>
        <v>624901.74595890008</v>
      </c>
      <c r="AG6" s="125">
        <f t="shared" si="20"/>
        <v>436512.70961066853</v>
      </c>
      <c r="AH6" s="223">
        <f t="shared" si="21"/>
        <v>528840.30940655852</v>
      </c>
      <c r="AI6" s="223">
        <f t="shared" si="17"/>
        <v>516450.76016924251</v>
      </c>
      <c r="AJ6" s="223">
        <f t="shared" si="17"/>
        <v>551413.04979783308</v>
      </c>
    </row>
    <row r="7" spans="1:37" x14ac:dyDescent="0.35">
      <c r="A7" s="2" t="s">
        <v>36</v>
      </c>
      <c r="B7" s="3">
        <v>76.599999999999994</v>
      </c>
      <c r="C7" s="3">
        <v>75.489999999999995</v>
      </c>
      <c r="D7" s="3">
        <v>84.52</v>
      </c>
      <c r="E7" s="216">
        <v>80.06</v>
      </c>
      <c r="F7" s="216">
        <v>81.010000000000005</v>
      </c>
      <c r="G7" s="216">
        <v>79</v>
      </c>
      <c r="I7" s="107">
        <f t="shared" si="0"/>
        <v>0.58677685950413228</v>
      </c>
      <c r="J7" s="107">
        <f t="shared" si="1"/>
        <v>0.5960412037972127</v>
      </c>
      <c r="K7" s="107">
        <f t="shared" si="2"/>
        <v>0.50592885375494068</v>
      </c>
      <c r="L7" s="107">
        <f t="shared" si="3"/>
        <v>0.55496217178460161</v>
      </c>
      <c r="M7" s="107">
        <f t="shared" si="4"/>
        <v>0.54535121618549665</v>
      </c>
      <c r="N7" s="107">
        <f t="shared" si="5"/>
        <v>0.56521739130434789</v>
      </c>
      <c r="P7" s="38">
        <f t="shared" si="6"/>
        <v>43.189177891820151</v>
      </c>
      <c r="Q7" s="38">
        <f t="shared" si="7"/>
        <v>43.741518098573607</v>
      </c>
      <c r="R7" s="38">
        <f t="shared" si="8"/>
        <v>38.369019789053347</v>
      </c>
      <c r="S7" s="38">
        <f t="shared" si="9"/>
        <v>41.292386209981728</v>
      </c>
      <c r="T7" s="38">
        <f t="shared" si="10"/>
        <v>40.719381037163089</v>
      </c>
      <c r="U7" s="38">
        <f t="shared" si="11"/>
        <v>41.903802397749004</v>
      </c>
      <c r="V7" s="38"/>
      <c r="W7">
        <v>31</v>
      </c>
      <c r="X7" s="43">
        <f t="shared" si="12"/>
        <v>1338.8645146464246</v>
      </c>
      <c r="Y7" s="43">
        <f t="shared" si="13"/>
        <v>1355.9870610557819</v>
      </c>
      <c r="Z7" s="43">
        <f t="shared" si="14"/>
        <v>1189.4396134606538</v>
      </c>
      <c r="AA7" s="43">
        <f t="shared" si="15"/>
        <v>1280.0639725094336</v>
      </c>
      <c r="AB7" s="43">
        <f t="shared" si="16"/>
        <v>1262.3008121520556</v>
      </c>
      <c r="AC7" s="43">
        <f t="shared" si="16"/>
        <v>1299.0178743302192</v>
      </c>
      <c r="AE7" s="125">
        <f t="shared" si="18"/>
        <v>540505.49556662608</v>
      </c>
      <c r="AF7" s="125">
        <f t="shared" si="19"/>
        <v>559972.36265594338</v>
      </c>
      <c r="AG7" s="125">
        <f t="shared" si="20"/>
        <v>401606.76822663273</v>
      </c>
      <c r="AH7" s="125">
        <f t="shared" si="21"/>
        <v>479824.99094587116</v>
      </c>
      <c r="AI7" s="125">
        <f t="shared" si="17"/>
        <v>463164.15875231131</v>
      </c>
      <c r="AJ7" s="125">
        <f t="shared" si="17"/>
        <v>498414.9721302645</v>
      </c>
    </row>
    <row r="8" spans="1:37" s="8" customFormat="1" x14ac:dyDescent="0.35">
      <c r="A8" s="9" t="s">
        <v>37</v>
      </c>
      <c r="B8" s="7">
        <v>80.69</v>
      </c>
      <c r="C8" s="7">
        <v>79.67</v>
      </c>
      <c r="D8" s="7">
        <v>86.71</v>
      </c>
      <c r="E8" s="216">
        <v>83.17</v>
      </c>
      <c r="F8" s="216">
        <v>84.27</v>
      </c>
      <c r="G8" s="216">
        <v>82.36</v>
      </c>
      <c r="I8" s="107">
        <f t="shared" si="0"/>
        <v>0.54863461972466721</v>
      </c>
      <c r="J8" s="107">
        <f t="shared" si="1"/>
        <v>0.55879108757996909</v>
      </c>
      <c r="K8" s="107">
        <f t="shared" si="2"/>
        <v>0.47767041002872823</v>
      </c>
      <c r="L8" s="107">
        <f t="shared" si="3"/>
        <v>0.52187425292852019</v>
      </c>
      <c r="M8" s="107">
        <f t="shared" si="4"/>
        <v>0.50896145347409782</v>
      </c>
      <c r="N8" s="107">
        <f t="shared" si="5"/>
        <v>0.53095684803001875</v>
      </c>
      <c r="O8" s="1"/>
      <c r="P8" s="40">
        <f t="shared" si="6"/>
        <v>40.915137556168439</v>
      </c>
      <c r="Q8" s="40">
        <f t="shared" si="7"/>
        <v>41.520666169701542</v>
      </c>
      <c r="R8" s="40">
        <f t="shared" si="8"/>
        <v>36.684251374096561</v>
      </c>
      <c r="S8" s="40">
        <f t="shared" si="9"/>
        <v>39.319684487782155</v>
      </c>
      <c r="T8" s="40">
        <f t="shared" si="10"/>
        <v>38.549823384309498</v>
      </c>
      <c r="U8" s="40">
        <f t="shared" si="11"/>
        <v>39.861188807733498</v>
      </c>
      <c r="V8" s="40"/>
      <c r="W8" s="8">
        <v>30</v>
      </c>
      <c r="X8" s="43">
        <f t="shared" si="12"/>
        <v>1227.4541266850531</v>
      </c>
      <c r="Y8" s="43">
        <f t="shared" si="13"/>
        <v>1245.6199850910461</v>
      </c>
      <c r="Z8" s="43">
        <f t="shared" si="14"/>
        <v>1100.5275412228968</v>
      </c>
      <c r="AA8" s="43">
        <f t="shared" si="15"/>
        <v>1179.5905346334646</v>
      </c>
      <c r="AB8" s="43">
        <f t="shared" si="16"/>
        <v>1156.4947015292848</v>
      </c>
      <c r="AC8" s="43">
        <f t="shared" si="16"/>
        <v>1195.835664232005</v>
      </c>
      <c r="AE8" s="125">
        <f t="shared" si="18"/>
        <v>453654.41471983201</v>
      </c>
      <c r="AF8" s="125">
        <f t="shared" si="19"/>
        <v>470965.83968156134</v>
      </c>
      <c r="AG8" s="125">
        <f t="shared" si="20"/>
        <v>351483.06347511563</v>
      </c>
      <c r="AH8" s="223">
        <f t="shared" si="21"/>
        <v>411563.89128347032</v>
      </c>
      <c r="AI8" s="223">
        <f t="shared" si="17"/>
        <v>392894.7075012133</v>
      </c>
      <c r="AJ8" s="223">
        <f t="shared" si="17"/>
        <v>425311.19934131426</v>
      </c>
    </row>
    <row r="9" spans="1:37" x14ac:dyDescent="0.35">
      <c r="A9" s="2" t="s">
        <v>38</v>
      </c>
      <c r="B9" s="3">
        <v>82.98</v>
      </c>
      <c r="C9" s="3">
        <v>82.07</v>
      </c>
      <c r="D9" s="3">
        <v>87.7</v>
      </c>
      <c r="E9" s="216">
        <v>84.77</v>
      </c>
      <c r="F9" s="216">
        <v>85.93</v>
      </c>
      <c r="G9" s="216">
        <v>84.14</v>
      </c>
      <c r="I9" s="107">
        <f t="shared" si="0"/>
        <v>0.52403617325083296</v>
      </c>
      <c r="J9" s="107">
        <f t="shared" si="1"/>
        <v>0.5341253202888423</v>
      </c>
      <c r="K9" s="107">
        <f t="shared" si="2"/>
        <v>0.46380697050938335</v>
      </c>
      <c r="L9" s="107">
        <f t="shared" si="3"/>
        <v>0.50285856326124789</v>
      </c>
      <c r="M9" s="107">
        <f t="shared" si="4"/>
        <v>0.48809828512925513</v>
      </c>
      <c r="N9" s="107">
        <f t="shared" si="5"/>
        <v>0.51052373959862951</v>
      </c>
      <c r="P9" s="38">
        <f t="shared" si="6"/>
        <v>39.448578177398446</v>
      </c>
      <c r="Q9" s="38">
        <f t="shared" si="7"/>
        <v>40.050093123804558</v>
      </c>
      <c r="R9" s="38">
        <f t="shared" si="8"/>
        <v>35.857713109953217</v>
      </c>
      <c r="S9" s="38">
        <f t="shared" si="9"/>
        <v>38.185969069819386</v>
      </c>
      <c r="T9" s="38">
        <f t="shared" si="10"/>
        <v>37.305961287589973</v>
      </c>
      <c r="U9" s="38">
        <f t="shared" si="11"/>
        <v>38.642966883054072</v>
      </c>
      <c r="V9" s="38"/>
      <c r="W9">
        <v>31</v>
      </c>
      <c r="X9" s="43">
        <f t="shared" si="12"/>
        <v>1222.9059234993517</v>
      </c>
      <c r="Y9" s="43">
        <f t="shared" si="13"/>
        <v>1241.5528868379413</v>
      </c>
      <c r="Z9" s="43">
        <f t="shared" si="14"/>
        <v>1111.5891064085497</v>
      </c>
      <c r="AA9" s="43">
        <f t="shared" si="15"/>
        <v>1183.7650411644011</v>
      </c>
      <c r="AB9" s="43">
        <f t="shared" si="16"/>
        <v>1156.4847999152892</v>
      </c>
      <c r="AC9" s="43">
        <f t="shared" si="16"/>
        <v>1197.9319733746763</v>
      </c>
      <c r="AE9" s="125">
        <f t="shared" si="18"/>
        <v>428614.854098298</v>
      </c>
      <c r="AF9" s="125">
        <f t="shared" si="19"/>
        <v>444574.17756791849</v>
      </c>
      <c r="AG9" s="125">
        <f t="shared" si="20"/>
        <v>345836.82467345346</v>
      </c>
      <c r="AH9" s="125">
        <f t="shared" si="21"/>
        <v>397222.3387020118</v>
      </c>
      <c r="AI9" s="125">
        <f t="shared" si="17"/>
        <v>376878.58570777014</v>
      </c>
      <c r="AJ9" s="125">
        <f t="shared" si="17"/>
        <v>408271.10110405664</v>
      </c>
    </row>
    <row r="10" spans="1:37" x14ac:dyDescent="0.35">
      <c r="A10" s="2" t="s">
        <v>39</v>
      </c>
      <c r="B10" s="3">
        <v>82.88</v>
      </c>
      <c r="C10" s="3">
        <v>82.05</v>
      </c>
      <c r="D10" s="3">
        <v>87.23</v>
      </c>
      <c r="E10" s="216">
        <v>84.45</v>
      </c>
      <c r="F10" s="216">
        <v>85.54</v>
      </c>
      <c r="G10" s="216">
        <v>83.88</v>
      </c>
      <c r="I10" s="107">
        <f t="shared" si="0"/>
        <v>0.52516619183285851</v>
      </c>
      <c r="J10" s="107">
        <f t="shared" si="1"/>
        <v>0.53434225844004657</v>
      </c>
      <c r="K10" s="107">
        <f t="shared" si="2"/>
        <v>0.47047921630924006</v>
      </c>
      <c r="L10" s="107">
        <f t="shared" si="3"/>
        <v>0.50678175092478417</v>
      </c>
      <c r="M10" s="107">
        <f t="shared" si="4"/>
        <v>0.49315762797769891</v>
      </c>
      <c r="N10" s="107">
        <f t="shared" si="5"/>
        <v>0.51361867704280162</v>
      </c>
      <c r="P10" s="38">
        <f t="shared" si="6"/>
        <v>39.515949885258806</v>
      </c>
      <c r="Q10" s="38">
        <f t="shared" si="7"/>
        <v>40.063026976379362</v>
      </c>
      <c r="R10" s="38">
        <f t="shared" si="8"/>
        <v>36.255512404540674</v>
      </c>
      <c r="S10" s="38">
        <f t="shared" si="9"/>
        <v>38.419869518319416</v>
      </c>
      <c r="T10" s="38">
        <f t="shared" si="10"/>
        <v>37.607599308214191</v>
      </c>
      <c r="U10" s="38">
        <f t="shared" si="11"/>
        <v>38.827487053475615</v>
      </c>
      <c r="V10" s="38"/>
      <c r="W10">
        <v>31</v>
      </c>
      <c r="X10" s="43">
        <f t="shared" si="12"/>
        <v>1224.994446443023</v>
      </c>
      <c r="Y10" s="43">
        <f t="shared" si="13"/>
        <v>1241.9538362677602</v>
      </c>
      <c r="Z10" s="43">
        <f t="shared" si="14"/>
        <v>1123.9208845407609</v>
      </c>
      <c r="AA10" s="43">
        <f t="shared" si="15"/>
        <v>1191.0159550679018</v>
      </c>
      <c r="AB10" s="43">
        <f t="shared" si="16"/>
        <v>1165.8355785546398</v>
      </c>
      <c r="AC10" s="43">
        <f t="shared" si="16"/>
        <v>1203.6520986577441</v>
      </c>
      <c r="AE10" s="125">
        <f t="shared" si="18"/>
        <v>430368.62590814644</v>
      </c>
      <c r="AF10" s="125">
        <f t="shared" si="19"/>
        <v>444924.93192988815</v>
      </c>
      <c r="AG10" s="125">
        <f t="shared" si="20"/>
        <v>354079.55217974086</v>
      </c>
      <c r="AH10" s="125">
        <f t="shared" si="21"/>
        <v>402834.40849352645</v>
      </c>
      <c r="AI10" s="125">
        <f t="shared" si="17"/>
        <v>383718.29576617881</v>
      </c>
      <c r="AJ10" s="125">
        <f t="shared" si="17"/>
        <v>412830.90780966252</v>
      </c>
    </row>
    <row r="11" spans="1:37" s="8" customFormat="1" x14ac:dyDescent="0.35">
      <c r="A11" s="9" t="s">
        <v>40</v>
      </c>
      <c r="B11" s="7">
        <v>80.41</v>
      </c>
      <c r="C11" s="7">
        <v>79.62</v>
      </c>
      <c r="D11" s="7">
        <v>85.42</v>
      </c>
      <c r="E11" s="216">
        <v>82.29</v>
      </c>
      <c r="F11" s="216">
        <v>83.22</v>
      </c>
      <c r="G11" s="216">
        <v>81.64</v>
      </c>
      <c r="I11" s="107">
        <f t="shared" si="0"/>
        <v>0.55146893922404128</v>
      </c>
      <c r="J11" s="107">
        <f t="shared" si="1"/>
        <v>0.55927721463199642</v>
      </c>
      <c r="K11" s="107">
        <f t="shared" si="2"/>
        <v>0.49469429004547749</v>
      </c>
      <c r="L11" s="107">
        <f t="shared" si="3"/>
        <v>0.53172559119644103</v>
      </c>
      <c r="M11" s="107">
        <f t="shared" si="4"/>
        <v>0.52130205840114896</v>
      </c>
      <c r="N11" s="107">
        <f t="shared" si="5"/>
        <v>0.53874538745387457</v>
      </c>
      <c r="O11" s="1"/>
      <c r="P11" s="40">
        <f t="shared" si="6"/>
        <v>41.084119684721124</v>
      </c>
      <c r="Q11" s="40">
        <f t="shared" si="7"/>
        <v>41.549649064543409</v>
      </c>
      <c r="R11" s="40">
        <f t="shared" si="8"/>
        <v>37.699215100695149</v>
      </c>
      <c r="S11" s="40">
        <f t="shared" si="9"/>
        <v>39.9070212753156</v>
      </c>
      <c r="T11" s="40">
        <f t="shared" si="10"/>
        <v>39.285570250060282</v>
      </c>
      <c r="U11" s="40">
        <f t="shared" si="11"/>
        <v>40.325541528183784</v>
      </c>
      <c r="V11" s="40"/>
      <c r="W11" s="8">
        <v>30</v>
      </c>
      <c r="X11" s="43">
        <f t="shared" si="12"/>
        <v>1232.5235905416337</v>
      </c>
      <c r="Y11" s="43">
        <f t="shared" si="13"/>
        <v>1246.4894719363024</v>
      </c>
      <c r="Z11" s="43">
        <f t="shared" si="14"/>
        <v>1130.9764530208545</v>
      </c>
      <c r="AA11" s="43">
        <f t="shared" si="15"/>
        <v>1197.2106382594679</v>
      </c>
      <c r="AB11" s="43">
        <f t="shared" si="16"/>
        <v>1178.5671075018086</v>
      </c>
      <c r="AC11" s="43">
        <f t="shared" si="16"/>
        <v>1209.7662458455136</v>
      </c>
      <c r="AE11" s="125">
        <f t="shared" si="18"/>
        <v>458406.57059167931</v>
      </c>
      <c r="AF11" s="125">
        <f t="shared" si="19"/>
        <v>471814.43894439121</v>
      </c>
      <c r="AG11" s="125">
        <f t="shared" si="20"/>
        <v>373376.92445612611</v>
      </c>
      <c r="AH11" s="223">
        <f t="shared" si="21"/>
        <v>426499.238309276</v>
      </c>
      <c r="AI11" s="223">
        <f t="shared" si="17"/>
        <v>410715.29202064057</v>
      </c>
      <c r="AJ11" s="223">
        <f t="shared" si="17"/>
        <v>437531.02872606448</v>
      </c>
    </row>
    <row r="12" spans="1:37" x14ac:dyDescent="0.35">
      <c r="A12" s="2" t="s">
        <v>41</v>
      </c>
      <c r="B12" s="3">
        <v>76.22</v>
      </c>
      <c r="C12" s="3">
        <v>75.41</v>
      </c>
      <c r="D12" s="3">
        <v>82.75</v>
      </c>
      <c r="E12" s="216">
        <v>78.86</v>
      </c>
      <c r="F12" s="216">
        <v>79.56</v>
      </c>
      <c r="G12" s="216">
        <v>78.010000000000005</v>
      </c>
      <c r="I12" s="107">
        <f t="shared" si="0"/>
        <v>0.58999589995899959</v>
      </c>
      <c r="J12" s="107">
        <f t="shared" si="1"/>
        <v>0.59669288162936085</v>
      </c>
      <c r="K12" s="107">
        <f t="shared" si="2"/>
        <v>0.52662721893491127</v>
      </c>
      <c r="L12" s="107">
        <f t="shared" si="3"/>
        <v>0.56653662765496315</v>
      </c>
      <c r="M12" s="107">
        <f t="shared" si="4"/>
        <v>0.5598591549295775</v>
      </c>
      <c r="N12" s="107">
        <f t="shared" si="5"/>
        <v>0.5743775271334326</v>
      </c>
      <c r="P12" s="38">
        <f t="shared" si="6"/>
        <v>43.381097083739341</v>
      </c>
      <c r="Q12" s="38">
        <f t="shared" si="7"/>
        <v>43.780371130926277</v>
      </c>
      <c r="R12" s="38">
        <f t="shared" si="8"/>
        <v>39.603056321083194</v>
      </c>
      <c r="S12" s="38">
        <f t="shared" si="9"/>
        <v>41.982455268972686</v>
      </c>
      <c r="T12" s="38">
        <f t="shared" si="10"/>
        <v>41.584344345085192</v>
      </c>
      <c r="U12" s="38">
        <f t="shared" si="11"/>
        <v>42.449929695879035</v>
      </c>
      <c r="V12" s="38"/>
      <c r="W12">
        <v>31</v>
      </c>
      <c r="X12" s="43">
        <f t="shared" si="12"/>
        <v>1344.8140095959195</v>
      </c>
      <c r="Y12" s="43">
        <f t="shared" si="13"/>
        <v>1357.1915050587145</v>
      </c>
      <c r="Z12" s="43">
        <f t="shared" si="14"/>
        <v>1227.6947459535791</v>
      </c>
      <c r="AA12" s="43">
        <f t="shared" si="15"/>
        <v>1301.4561133381533</v>
      </c>
      <c r="AB12" s="43">
        <f t="shared" si="16"/>
        <v>1289.114674697641</v>
      </c>
      <c r="AC12" s="43">
        <f t="shared" si="16"/>
        <v>1315.9478205722501</v>
      </c>
      <c r="AE12" s="125">
        <f t="shared" si="18"/>
        <v>547169.82844404993</v>
      </c>
      <c r="AF12" s="125">
        <f t="shared" si="19"/>
        <v>561375.38010382198</v>
      </c>
      <c r="AG12" s="125">
        <f t="shared" si="20"/>
        <v>432648.52926094941</v>
      </c>
      <c r="AH12" s="125">
        <f t="shared" si="21"/>
        <v>500870.25266405212</v>
      </c>
      <c r="AI12" s="125">
        <f t="shared" si="17"/>
        <v>488593.84999511333</v>
      </c>
      <c r="AJ12" s="125">
        <f t="shared" si="17"/>
        <v>515777.31304776343</v>
      </c>
    </row>
    <row r="13" spans="1:37" s="8" customFormat="1" x14ac:dyDescent="0.35">
      <c r="A13" s="9" t="s">
        <v>42</v>
      </c>
      <c r="B13" s="7">
        <v>71.39</v>
      </c>
      <c r="C13" s="7">
        <v>70.52</v>
      </c>
      <c r="D13" s="7">
        <v>79.91</v>
      </c>
      <c r="E13" s="216">
        <v>75.05</v>
      </c>
      <c r="F13" s="216">
        <v>75.52</v>
      </c>
      <c r="G13" s="216">
        <v>73.930000000000007</v>
      </c>
      <c r="I13" s="107">
        <f t="shared" si="0"/>
        <v>0.62693527326991227</v>
      </c>
      <c r="J13" s="107">
        <f t="shared" si="1"/>
        <v>0.63289280469897213</v>
      </c>
      <c r="K13" s="107">
        <f t="shared" si="2"/>
        <v>0.55644267021512528</v>
      </c>
      <c r="L13" s="107">
        <f t="shared" si="3"/>
        <v>0.59959959959959963</v>
      </c>
      <c r="M13" s="107">
        <f t="shared" si="4"/>
        <v>0.59579628132578821</v>
      </c>
      <c r="N13" s="107">
        <f t="shared" si="5"/>
        <v>0.60838065400430774</v>
      </c>
      <c r="O13" s="1"/>
      <c r="P13" s="40">
        <f t="shared" si="6"/>
        <v>45.583422520535954</v>
      </c>
      <c r="Q13" s="40">
        <f t="shared" si="7"/>
        <v>45.938610544336498</v>
      </c>
      <c r="R13" s="40">
        <f t="shared" si="8"/>
        <v>41.380653526409553</v>
      </c>
      <c r="S13" s="40">
        <f t="shared" si="9"/>
        <v>43.953669656311909</v>
      </c>
      <c r="T13" s="40">
        <f t="shared" si="10"/>
        <v>43.726915820827273</v>
      </c>
      <c r="U13" s="40">
        <f t="shared" si="11"/>
        <v>44.477196119920613</v>
      </c>
      <c r="V13" s="40"/>
      <c r="W13" s="8">
        <v>30</v>
      </c>
      <c r="X13" s="43">
        <f t="shared" si="12"/>
        <v>1367.5026756160787</v>
      </c>
      <c r="Y13" s="43">
        <f t="shared" si="13"/>
        <v>1378.158316330095</v>
      </c>
      <c r="Z13" s="43">
        <f t="shared" si="14"/>
        <v>1241.4196057922866</v>
      </c>
      <c r="AA13" s="43">
        <f t="shared" si="15"/>
        <v>1318.6100896893572</v>
      </c>
      <c r="AB13" s="43">
        <f t="shared" si="16"/>
        <v>1311.8074746248183</v>
      </c>
      <c r="AC13" s="43">
        <f t="shared" si="16"/>
        <v>1334.3158835976185</v>
      </c>
      <c r="AE13" s="125">
        <f t="shared" si="18"/>
        <v>611493.87760618806</v>
      </c>
      <c r="AF13" s="125">
        <f t="shared" si="19"/>
        <v>626259.50477942789</v>
      </c>
      <c r="AG13" s="125">
        <f t="shared" si="20"/>
        <v>466892.56321997801</v>
      </c>
      <c r="AH13" s="223">
        <f t="shared" si="21"/>
        <v>549376.41156704142</v>
      </c>
      <c r="AI13" s="223">
        <f t="shared" si="17"/>
        <v>541399.57849644078</v>
      </c>
      <c r="AJ13" s="223">
        <f t="shared" si="17"/>
        <v>568385.0350544306</v>
      </c>
    </row>
    <row r="14" spans="1:37" x14ac:dyDescent="0.35">
      <c r="A14" s="36" t="s">
        <v>43</v>
      </c>
      <c r="B14" s="37">
        <v>67.2</v>
      </c>
      <c r="C14" s="37">
        <v>66.23</v>
      </c>
      <c r="D14" s="37">
        <v>77.64</v>
      </c>
      <c r="E14" s="217">
        <v>71.849999999999994</v>
      </c>
      <c r="F14" s="217">
        <v>72.150000000000006</v>
      </c>
      <c r="G14" s="217">
        <v>70.48</v>
      </c>
      <c r="I14" s="108">
        <f t="shared" si="0"/>
        <v>0.65397923875432529</v>
      </c>
      <c r="J14" s="108">
        <f t="shared" si="1"/>
        <v>0.65969031818955248</v>
      </c>
      <c r="K14" s="108">
        <f t="shared" si="2"/>
        <v>0.57770270270270263</v>
      </c>
      <c r="L14" s="108">
        <f t="shared" si="3"/>
        <v>0.62370649106302922</v>
      </c>
      <c r="M14" s="107">
        <f t="shared" si="4"/>
        <v>0.6215704824976348</v>
      </c>
      <c r="N14" s="107">
        <f t="shared" si="5"/>
        <v>0.63316214233308876</v>
      </c>
      <c r="P14" s="39">
        <f t="shared" si="6"/>
        <v>47.195783742716657</v>
      </c>
      <c r="Q14" s="39">
        <f t="shared" si="7"/>
        <v>47.536278298644902</v>
      </c>
      <c r="R14" s="39">
        <f t="shared" si="8"/>
        <v>42.648176663318914</v>
      </c>
      <c r="S14" s="39">
        <f t="shared" si="9"/>
        <v>45.390922525361582</v>
      </c>
      <c r="T14" s="39">
        <f t="shared" si="10"/>
        <v>45.263573694692766</v>
      </c>
      <c r="U14" s="39">
        <f t="shared" si="11"/>
        <v>45.954668454082537</v>
      </c>
      <c r="V14" s="42"/>
      <c r="W14" s="45">
        <v>31</v>
      </c>
      <c r="X14" s="46">
        <f t="shared" si="12"/>
        <v>1463.0692960242163</v>
      </c>
      <c r="Y14" s="46">
        <f t="shared" si="13"/>
        <v>1473.624627257992</v>
      </c>
      <c r="Z14" s="46">
        <f t="shared" si="14"/>
        <v>1322.0934765628863</v>
      </c>
      <c r="AA14" s="46">
        <f t="shared" si="15"/>
        <v>1407.1185982862091</v>
      </c>
      <c r="AB14" s="46">
        <f t="shared" si="16"/>
        <v>1403.1707845354758</v>
      </c>
      <c r="AC14" s="46">
        <f t="shared" si="16"/>
        <v>1424.5947220765586</v>
      </c>
      <c r="AE14" s="125">
        <f t="shared" si="18"/>
        <v>705360.04569237563</v>
      </c>
      <c r="AF14" s="125">
        <f t="shared" si="19"/>
        <v>722371.63224790501</v>
      </c>
      <c r="AG14" s="125">
        <f t="shared" si="20"/>
        <v>522266.26874420256</v>
      </c>
      <c r="AH14" s="224">
        <f t="shared" si="21"/>
        <v>623809.6565344251</v>
      </c>
      <c r="AI14" s="224">
        <f t="shared" si="17"/>
        <v>618548.34110487974</v>
      </c>
      <c r="AJ14" s="224">
        <f t="shared" si="17"/>
        <v>647836.33032934798</v>
      </c>
    </row>
    <row r="15" spans="1:37" s="1" customFormat="1" x14ac:dyDescent="0.35">
      <c r="A15" s="2" t="s">
        <v>50</v>
      </c>
      <c r="B15" s="3">
        <f>SUMPRODUCT($W$3:$W$14,B3:B14)/365</f>
        <v>73.970986301369862</v>
      </c>
      <c r="C15" s="3">
        <f>SUMPRODUCT($W$3:$W$14,C3:C14)/365</f>
        <v>72.972109589041111</v>
      </c>
      <c r="D15" s="3">
        <f>SUMPRODUCT($W$3:$W$14,D3:D14)/365</f>
        <v>82.204767123287667</v>
      </c>
      <c r="E15" s="3">
        <f>SUMPRODUCT($W$3:$W$14,E3:E14)/365</f>
        <v>77.536684931506855</v>
      </c>
      <c r="F15" s="3">
        <f t="shared" ref="F15:G15" si="22">SUMPRODUCT($W$3:$W$14,F3:F14)/365</f>
        <v>78.244657534246585</v>
      </c>
      <c r="G15" s="3">
        <f t="shared" si="22"/>
        <v>76.445643835616451</v>
      </c>
      <c r="I15" s="107">
        <f>SUMPRODUCT($W$3:$W$14,I3:I14)/365</f>
        <v>0.60128216272420087</v>
      </c>
      <c r="J15" s="107">
        <f>SUMPRODUCT($W$3:$W$14,J3:J14)/365</f>
        <v>0.60900745082954566</v>
      </c>
      <c r="K15" s="107">
        <f>SUMPRODUCT($W$3:$W$14,K3:K14)/365</f>
        <v>0.52863429958796726</v>
      </c>
      <c r="L15" s="107">
        <f>SUMPRODUCT($W$3:$W$14,L3:L14)/365</f>
        <v>0.57336842042252456</v>
      </c>
      <c r="M15" s="230">
        <f t="shared" ref="M15:N15" si="23">SUMPRODUCT($W$3:$W$14,M3:M14)/365</f>
        <v>0.56604539574563295</v>
      </c>
      <c r="N15" s="230">
        <f t="shared" si="23"/>
        <v>0.58248487713407604</v>
      </c>
      <c r="P15" s="3">
        <f>X15/365</f>
        <v>44.053984069800634</v>
      </c>
      <c r="Q15" s="3">
        <f t="shared" ref="Q15:R15" si="24">Y15/365</f>
        <v>44.514565746641296</v>
      </c>
      <c r="R15" s="3">
        <f t="shared" si="24"/>
        <v>39.722718469618393</v>
      </c>
      <c r="S15" s="3">
        <f>AA15/365</f>
        <v>42.389766753774701</v>
      </c>
      <c r="T15" s="3">
        <f t="shared" ref="T15:U15" si="25">AB15/365</f>
        <v>41.953168022538414</v>
      </c>
      <c r="U15" s="3">
        <f t="shared" si="25"/>
        <v>42.933289902917394</v>
      </c>
      <c r="V15" s="38"/>
      <c r="W15" s="43">
        <f>SUM(W3:W14)</f>
        <v>365</v>
      </c>
      <c r="X15" s="43">
        <f>SUM(X3:X14)</f>
        <v>16079.704185477231</v>
      </c>
      <c r="Y15" s="43">
        <f t="shared" ref="Y15:Z15" si="26">SUM(Y3:Y14)</f>
        <v>16247.816497524072</v>
      </c>
      <c r="Z15" s="43">
        <f t="shared" si="26"/>
        <v>14498.792241410712</v>
      </c>
      <c r="AA15" s="43">
        <f t="shared" ref="AA15:AC15" si="27">SUM(AA3:AA14)</f>
        <v>15472.264865127765</v>
      </c>
      <c r="AB15" s="43">
        <f t="shared" si="27"/>
        <v>15312.906328226522</v>
      </c>
      <c r="AC15" s="43">
        <f t="shared" si="27"/>
        <v>15670.650814564848</v>
      </c>
      <c r="AE15" s="126">
        <f>SUM(AE3:AE14)</f>
        <v>6906887.8965142826</v>
      </c>
      <c r="AF15" s="126">
        <f t="shared" ref="AF15:AH15" si="28">SUM(AF3:AF14)</f>
        <v>7113148.4333377117</v>
      </c>
      <c r="AG15" s="126">
        <f t="shared" si="28"/>
        <v>5206674.0148072839</v>
      </c>
      <c r="AH15" s="125">
        <f t="shared" si="28"/>
        <v>6170597.9174557338</v>
      </c>
      <c r="AI15" s="125">
        <f t="shared" ref="AI15:AJ15" si="29">SUM(AI3:AI14)</f>
        <v>6024406.8937838245</v>
      </c>
      <c r="AJ15" s="125">
        <f t="shared" si="29"/>
        <v>6395889.7070802273</v>
      </c>
    </row>
    <row r="16" spans="1:37" s="1" customFormat="1" x14ac:dyDescent="0.35">
      <c r="A16" s="36" t="s">
        <v>31</v>
      </c>
      <c r="B16" s="37">
        <f>'Hot Water Calcs'!AC5</f>
        <v>67.8</v>
      </c>
      <c r="C16" s="37">
        <f>'Hot Water Calcs'!AC4</f>
        <v>66.8</v>
      </c>
      <c r="D16" s="37">
        <v>76.099999999999994</v>
      </c>
      <c r="E16" s="131">
        <f>'Hot Water Calcs'!AC7</f>
        <v>71.400000000000006</v>
      </c>
      <c r="F16" s="131">
        <f>'Hot Water Calcs'!AC8</f>
        <v>72.099999999999994</v>
      </c>
      <c r="G16" s="131">
        <f>'Hot Water Calcs'!AC6</f>
        <v>70.3</v>
      </c>
      <c r="I16" s="108">
        <f t="shared" ref="I16:N16" si="30">(1-((Tset-Tuse)/(Tset-(B16+Tmains_offset))))</f>
        <v>0.60317460317460325</v>
      </c>
      <c r="J16" s="108">
        <f t="shared" si="30"/>
        <v>0.6108949416342413</v>
      </c>
      <c r="K16" s="108">
        <f t="shared" si="30"/>
        <v>0.52494061757719723</v>
      </c>
      <c r="L16" s="108">
        <f t="shared" si="30"/>
        <v>0.57264957264957261</v>
      </c>
      <c r="M16" s="108">
        <f t="shared" si="30"/>
        <v>0.56616052060737543</v>
      </c>
      <c r="N16" s="108">
        <f t="shared" si="30"/>
        <v>0.58246346555323592</v>
      </c>
      <c r="P16" s="37">
        <f t="shared" ref="P16:U16" si="31">(refDWgpd+refCWgpd+I16*( 23.98 + 11.88*Nbr))*Ndu</f>
        <v>44.166811369453626</v>
      </c>
      <c r="Q16" s="37">
        <f t="shared" si="31"/>
        <v>44.627097948417251</v>
      </c>
      <c r="R16" s="37">
        <f t="shared" si="31"/>
        <v>39.502501148136282</v>
      </c>
      <c r="S16" s="37">
        <f t="shared" si="31"/>
        <v>42.3469090495513</v>
      </c>
      <c r="T16" s="37">
        <f t="shared" si="31"/>
        <v>41.960031766795503</v>
      </c>
      <c r="U16" s="37">
        <f t="shared" si="31"/>
        <v>42.932013344467705</v>
      </c>
      <c r="V16" s="42"/>
      <c r="AE16" s="127">
        <f>AE15/10^5/0.62</f>
        <v>111.40141768571424</v>
      </c>
      <c r="AF16" s="127">
        <f t="shared" ref="AF16:AJ16" si="32">AF15/10^5/0.62</f>
        <v>114.72820053770502</v>
      </c>
      <c r="AG16" s="127">
        <f t="shared" si="32"/>
        <v>83.978613142052964</v>
      </c>
      <c r="AH16" s="127">
        <f t="shared" si="32"/>
        <v>99.525772862189257</v>
      </c>
      <c r="AI16" s="127">
        <f t="shared" si="32"/>
        <v>97.167853125545548</v>
      </c>
      <c r="AJ16" s="127">
        <f t="shared" si="32"/>
        <v>103.15951140451979</v>
      </c>
      <c r="AK16" s="1" t="s">
        <v>131</v>
      </c>
    </row>
    <row r="17" spans="1:37" x14ac:dyDescent="0.35">
      <c r="A17" s="2" t="s">
        <v>30</v>
      </c>
      <c r="B17" s="3">
        <f>B15-B16</f>
        <v>6.1709863013698651</v>
      </c>
      <c r="C17" s="3">
        <f>C15-C16</f>
        <v>6.1721095890411135</v>
      </c>
      <c r="D17" s="3">
        <f>D15-D16</f>
        <v>6.1047671232876723</v>
      </c>
      <c r="E17" s="3">
        <f>E15-E16</f>
        <v>6.1366849315068492</v>
      </c>
      <c r="F17" s="3">
        <f t="shared" ref="F17:G17" si="33">F15-F16</f>
        <v>6.1446575342465906</v>
      </c>
      <c r="G17" s="3">
        <f t="shared" si="33"/>
        <v>6.145643835616454</v>
      </c>
      <c r="I17" s="107">
        <f t="shared" ref="I17:K17" si="34">I15-I16</f>
        <v>-1.8924404504023773E-3</v>
      </c>
      <c r="J17" s="107">
        <f t="shared" si="34"/>
        <v>-1.8874908046956351E-3</v>
      </c>
      <c r="K17" s="107">
        <f t="shared" si="34"/>
        <v>3.6936820107700274E-3</v>
      </c>
      <c r="L17" s="107">
        <f t="shared" ref="L17:N17" si="35">L15-L16</f>
        <v>7.1884777295194713E-4</v>
      </c>
      <c r="M17" s="107">
        <f t="shared" si="35"/>
        <v>-1.1512486174247716E-4</v>
      </c>
      <c r="N17" s="107">
        <f t="shared" si="35"/>
        <v>2.1411580840124955E-5</v>
      </c>
      <c r="P17" s="3">
        <f>P15-P16</f>
        <v>-0.11282729965299154</v>
      </c>
      <c r="Q17" s="3">
        <f>Q15-Q16</f>
        <v>-0.1125322017759558</v>
      </c>
      <c r="R17" s="3">
        <f>R15-R16</f>
        <v>0.22021732148211015</v>
      </c>
      <c r="S17" s="3">
        <f>S15-S16</f>
        <v>4.2857704223401072E-2</v>
      </c>
      <c r="T17" s="3">
        <f t="shared" ref="T17:U17" si="36">T15-T16</f>
        <v>-6.8637442570889107E-3</v>
      </c>
      <c r="U17" s="3">
        <f t="shared" si="36"/>
        <v>1.2765584496889915E-3</v>
      </c>
      <c r="V17" s="1"/>
      <c r="X17" s="157" t="s">
        <v>190</v>
      </c>
      <c r="AE17" s="125">
        <f>AE15*0.000293/0.95</f>
        <v>2130.2296354512473</v>
      </c>
      <c r="AF17" s="125">
        <f t="shared" ref="AF17:AJ17" si="37">AF15*0.000293/0.95</f>
        <v>2193.8447273346842</v>
      </c>
      <c r="AG17" s="125">
        <f t="shared" si="37"/>
        <v>1605.8478803563521</v>
      </c>
      <c r="AH17" s="125">
        <f t="shared" si="37"/>
        <v>1903.1423050679264</v>
      </c>
      <c r="AI17" s="125">
        <f t="shared" si="37"/>
        <v>1858.0539156617481</v>
      </c>
      <c r="AJ17" s="125">
        <f t="shared" si="37"/>
        <v>1972.6270359731652</v>
      </c>
      <c r="AK17" t="s">
        <v>132</v>
      </c>
    </row>
    <row r="18" spans="1:37" x14ac:dyDescent="0.35">
      <c r="Q18" s="2" t="s">
        <v>49</v>
      </c>
      <c r="R18" s="47">
        <f>AVERAGE(P17:U17)</f>
        <v>5.3547230781939943E-3</v>
      </c>
      <c r="S18" s="47"/>
      <c r="T18" s="47"/>
      <c r="U18" s="47"/>
      <c r="V18" s="1"/>
    </row>
    <row r="19" spans="1:37" x14ac:dyDescent="0.35">
      <c r="A19" s="2" t="s">
        <v>46</v>
      </c>
      <c r="B19" s="102">
        <v>6.8</v>
      </c>
      <c r="C19" t="s">
        <v>111</v>
      </c>
    </row>
  </sheetData>
  <sheetProtection algorithmName="SHA-512" hashValue="aOAzK88ExjE32oxx8H3qnlzbZkv0bJH5LsCYD1EWNYEYanzaSJeaxQyH3zPEJfk+l50QNzPwL4x7TesHn94w6g==" saltValue="enzzDiBwc4lXUBKyVp58y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workbookViewId="0">
      <selection activeCell="A26" sqref="A26"/>
    </sheetView>
  </sheetViews>
  <sheetFormatPr defaultColWidth="9.08984375" defaultRowHeight="14.5" x14ac:dyDescent="0.35"/>
  <cols>
    <col min="1" max="1" width="6.6328125" style="1" customWidth="1"/>
    <col min="2" max="2" width="9.08984375" style="1"/>
    <col min="3" max="4" width="9.08984375" style="1" customWidth="1"/>
    <col min="5" max="8" width="9.08984375" style="1"/>
    <col min="9" max="10" width="9.08984375" style="1" customWidth="1"/>
    <col min="11" max="11" width="9.08984375" style="1"/>
    <col min="12" max="15" width="9.08984375" style="1" customWidth="1"/>
    <col min="16" max="16" width="12" style="1" customWidth="1"/>
    <col min="17" max="17" width="9.08984375" style="1" customWidth="1"/>
    <col min="18" max="16384" width="9.08984375" style="1"/>
  </cols>
  <sheetData>
    <row r="1" spans="1:25" x14ac:dyDescent="0.35">
      <c r="A1" s="129" t="s">
        <v>186</v>
      </c>
      <c r="K1" s="38"/>
      <c r="L1" s="38"/>
      <c r="M1" s="38"/>
      <c r="N1" s="38"/>
      <c r="O1" s="38"/>
      <c r="P1" s="38"/>
    </row>
    <row r="2" spans="1:25" x14ac:dyDescent="0.35">
      <c r="A2" s="4" t="s">
        <v>187</v>
      </c>
      <c r="K2" s="38"/>
      <c r="L2" s="38"/>
      <c r="M2" s="38"/>
      <c r="N2" s="38"/>
      <c r="O2" s="38"/>
      <c r="P2" s="38"/>
    </row>
    <row r="3" spans="1:25" x14ac:dyDescent="0.35">
      <c r="B3" s="2" t="s">
        <v>51</v>
      </c>
      <c r="C3" s="2" t="s">
        <v>75</v>
      </c>
      <c r="E3" s="50"/>
      <c r="K3" s="38"/>
      <c r="L3" s="38"/>
      <c r="M3" s="38"/>
      <c r="N3" s="38"/>
      <c r="O3" s="38"/>
      <c r="P3" s="38"/>
    </row>
    <row r="4" spans="1:25" x14ac:dyDescent="0.35">
      <c r="B4" s="1">
        <v>1</v>
      </c>
      <c r="C4" s="50">
        <v>0.24</v>
      </c>
    </row>
    <row r="5" spans="1:25" x14ac:dyDescent="0.35">
      <c r="B5" s="1">
        <v>2</v>
      </c>
      <c r="C5" s="50">
        <v>0.224</v>
      </c>
      <c r="E5" s="50"/>
    </row>
    <row r="6" spans="1:25" x14ac:dyDescent="0.35">
      <c r="B6" s="5">
        <v>3</v>
      </c>
      <c r="C6" s="63">
        <v>0.20799999999999999</v>
      </c>
      <c r="E6" s="50"/>
    </row>
    <row r="7" spans="1:25" x14ac:dyDescent="0.35">
      <c r="B7" s="1">
        <v>4</v>
      </c>
      <c r="C7" s="50">
        <v>0.192</v>
      </c>
      <c r="E7" s="50"/>
    </row>
    <row r="8" spans="1:25" x14ac:dyDescent="0.35">
      <c r="B8" s="1">
        <v>5</v>
      </c>
      <c r="C8" s="50">
        <v>0.17599999999999999</v>
      </c>
      <c r="E8" s="50"/>
    </row>
    <row r="9" spans="1:25" x14ac:dyDescent="0.35">
      <c r="B9" s="1">
        <v>6</v>
      </c>
      <c r="C9" s="50">
        <v>0.16</v>
      </c>
      <c r="E9" s="50"/>
    </row>
    <row r="10" spans="1:25" x14ac:dyDescent="0.35">
      <c r="B10" s="1" t="s">
        <v>56</v>
      </c>
      <c r="C10" s="50"/>
    </row>
    <row r="11" spans="1:25" x14ac:dyDescent="0.35">
      <c r="B11" s="1" t="s">
        <v>76</v>
      </c>
      <c r="C11" s="50"/>
    </row>
    <row r="12" spans="1:25" x14ac:dyDescent="0.35">
      <c r="A12" s="129" t="s">
        <v>66</v>
      </c>
      <c r="K12" s="60"/>
      <c r="L12" s="60"/>
      <c r="M12" s="60"/>
      <c r="R12" s="60"/>
      <c r="S12" s="60"/>
      <c r="T12" s="53"/>
      <c r="U12" s="60"/>
      <c r="V12" s="60"/>
      <c r="W12" s="60"/>
      <c r="X12" s="60"/>
    </row>
    <row r="13" spans="1:25" x14ac:dyDescent="0.35">
      <c r="A13" s="4" t="s">
        <v>188</v>
      </c>
      <c r="J13" s="50">
        <v>0.9</v>
      </c>
      <c r="K13" s="60"/>
      <c r="L13" s="60"/>
      <c r="M13" s="60"/>
      <c r="N13" s="76" t="s">
        <v>79</v>
      </c>
      <c r="O13" s="76"/>
      <c r="P13" s="109"/>
      <c r="R13" s="60"/>
      <c r="S13" s="60"/>
      <c r="T13" s="53"/>
      <c r="U13" s="60"/>
      <c r="V13" s="60"/>
      <c r="W13" s="60"/>
      <c r="X13" s="60"/>
    </row>
    <row r="14" spans="1:25" x14ac:dyDescent="0.35">
      <c r="A14" s="2" t="s">
        <v>0</v>
      </c>
      <c r="B14" s="2" t="s">
        <v>51</v>
      </c>
      <c r="C14" s="2" t="s">
        <v>52</v>
      </c>
      <c r="D14" s="2" t="s">
        <v>71</v>
      </c>
      <c r="E14" s="71" t="s">
        <v>107</v>
      </c>
      <c r="F14" s="2" t="s">
        <v>54</v>
      </c>
      <c r="G14" s="71" t="s">
        <v>55</v>
      </c>
      <c r="H14" s="2" t="s">
        <v>67</v>
      </c>
      <c r="I14" s="71" t="s">
        <v>68</v>
      </c>
      <c r="J14" s="77" t="s">
        <v>194</v>
      </c>
      <c r="K14" s="52" t="s">
        <v>69</v>
      </c>
      <c r="L14" s="52" t="s">
        <v>112</v>
      </c>
      <c r="M14" s="52" t="s">
        <v>70</v>
      </c>
      <c r="N14" s="74" t="s">
        <v>77</v>
      </c>
      <c r="O14" s="74" t="s">
        <v>78</v>
      </c>
      <c r="P14" s="74" t="s">
        <v>114</v>
      </c>
      <c r="R14" s="60"/>
      <c r="S14" s="60"/>
      <c r="T14" s="60"/>
      <c r="U14" s="60"/>
      <c r="V14" s="60"/>
      <c r="W14" s="60"/>
      <c r="X14" s="60"/>
      <c r="Y14" s="60"/>
    </row>
    <row r="15" spans="1:25" x14ac:dyDescent="0.35">
      <c r="A15" s="1">
        <v>1</v>
      </c>
      <c r="B15" s="3">
        <f>1.09+0.54*A15</f>
        <v>1.6300000000000001</v>
      </c>
      <c r="C15" s="38">
        <f xml:space="preserve"> ((88.4+34.9*A15)*8.16)/365 + ((4.52*(164+46.5*A15))*((3*2.08+1.59)/(2.874*2.08+1.59)))/365</f>
        <v>5.4535272005974171</v>
      </c>
      <c r="D15" s="33">
        <f>1-((Tset-Tuse)/(Tset-63.2))</f>
        <v>0.6763754045307443</v>
      </c>
      <c r="E15" s="70">
        <f>C15+22*B15*D15</f>
        <v>29.708349207069908</v>
      </c>
      <c r="F15" s="50">
        <f>(0.256-0.016*B15)</f>
        <v>0.22992000000000001</v>
      </c>
      <c r="G15" s="69">
        <f>E15*F15</f>
        <v>6.8305436496895133</v>
      </c>
      <c r="H15" s="3">
        <f>(9.8*A15^0.43)*D15</f>
        <v>6.6284789644012942</v>
      </c>
      <c r="I15" s="69">
        <f>E15-C15-G15</f>
        <v>17.424278356782978</v>
      </c>
      <c r="J15" s="78">
        <f>$J$13*(0.05+I15/E15)</f>
        <v>0.57286004405026847</v>
      </c>
      <c r="K15" s="64">
        <f>(14.6+10*A15)*D15</f>
        <v>16.63883495145631</v>
      </c>
      <c r="L15" s="64">
        <f t="shared" ref="L15:L23" si="0">C15+H15+K15</f>
        <v>28.72084111645502</v>
      </c>
      <c r="M15" s="66">
        <f t="shared" ref="M15:M23" si="1">(L15-E15)/E15</f>
        <v>-3.3240086271097279E-2</v>
      </c>
      <c r="N15" s="75">
        <f t="shared" ref="N15:N23" si="2">G15/D15</f>
        <v>10.098746352890238</v>
      </c>
      <c r="O15" s="75">
        <f t="shared" ref="O15:O23" si="3">I15/D15</f>
        <v>25.761253647109761</v>
      </c>
      <c r="P15" s="75">
        <f>N15+O15</f>
        <v>35.86</v>
      </c>
      <c r="R15" s="60"/>
      <c r="S15" s="60"/>
      <c r="T15" s="60"/>
      <c r="U15" s="60"/>
      <c r="V15" s="60"/>
      <c r="W15" s="60"/>
      <c r="X15" s="60"/>
      <c r="Y15" s="60"/>
    </row>
    <row r="16" spans="1:25" x14ac:dyDescent="0.35">
      <c r="A16" s="1">
        <v>2</v>
      </c>
      <c r="B16" s="3">
        <f t="shared" ref="B16:B23" si="4">1.09+0.54*A16</f>
        <v>2.17</v>
      </c>
      <c r="C16" s="38">
        <f t="shared" ref="C16:C23" si="5" xml:space="preserve"> ((88.4+34.9*A16)*8.16)/365 + ((4.52*(164+46.5*A16))*((3*2.08+1.59)/(2.874*2.08+1.59)))/365</f>
        <v>6.8295343643905992</v>
      </c>
      <c r="D16" s="33">
        <f>$D$15</f>
        <v>0.6763754045307443</v>
      </c>
      <c r="E16" s="70">
        <f t="shared" ref="E16:E23" si="6">C16+22*B16*D16</f>
        <v>39.119696176688329</v>
      </c>
      <c r="F16" s="50">
        <f t="shared" ref="F16:F23" si="7">(0.256-0.016*B16)</f>
        <v>0.22128</v>
      </c>
      <c r="G16" s="69">
        <f t="shared" ref="G16:G23" si="8">E16*F16</f>
        <v>8.6564063699775939</v>
      </c>
      <c r="H16" s="3">
        <f t="shared" ref="H16:H23" si="9">(9.8*A16^0.43)*D16</f>
        <v>8.9301094243893431</v>
      </c>
      <c r="I16" s="69">
        <f t="shared" ref="I16:I23" si="10">E16-C16-G16</f>
        <v>23.633755442320137</v>
      </c>
      <c r="J16" s="78">
        <f t="shared" ref="J16:J23" si="11">$J$13*(0.05+I16/E16)</f>
        <v>0.58872559035270011</v>
      </c>
      <c r="K16" s="64">
        <f t="shared" ref="K16:K23" si="12">(14.6+10*A16)*D16</f>
        <v>23.402588996763754</v>
      </c>
      <c r="L16" s="64">
        <f t="shared" si="0"/>
        <v>39.162232785543694</v>
      </c>
      <c r="M16" s="66">
        <f t="shared" si="1"/>
        <v>1.0873450719873512E-3</v>
      </c>
      <c r="N16" s="75">
        <f t="shared" si="2"/>
        <v>12.798227599631947</v>
      </c>
      <c r="O16" s="75">
        <f t="shared" si="3"/>
        <v>34.941772400368052</v>
      </c>
      <c r="P16" s="75">
        <f t="shared" ref="P16:P23" si="13">N16+O16</f>
        <v>47.739999999999995</v>
      </c>
      <c r="R16" s="60"/>
      <c r="S16" s="60"/>
      <c r="T16" s="60"/>
      <c r="U16" s="60"/>
      <c r="V16" s="60"/>
      <c r="W16" s="60"/>
      <c r="X16" s="60"/>
      <c r="Y16" s="60"/>
    </row>
    <row r="17" spans="1:25" x14ac:dyDescent="0.35">
      <c r="A17" s="5">
        <v>3</v>
      </c>
      <c r="B17" s="6">
        <f t="shared" si="4"/>
        <v>2.71</v>
      </c>
      <c r="C17" s="62">
        <f t="shared" si="5"/>
        <v>8.2055415281837814</v>
      </c>
      <c r="D17" s="79">
        <f t="shared" ref="D17:D23" si="14">$D$15</f>
        <v>0.6763754045307443</v>
      </c>
      <c r="E17" s="62">
        <f t="shared" si="6"/>
        <v>48.53104314630675</v>
      </c>
      <c r="F17" s="63">
        <f t="shared" si="7"/>
        <v>0.21264</v>
      </c>
      <c r="G17" s="6">
        <f t="shared" si="8"/>
        <v>10.319641014630667</v>
      </c>
      <c r="H17" s="6">
        <f t="shared" si="9"/>
        <v>10.631046601775392</v>
      </c>
      <c r="I17" s="6">
        <f t="shared" si="10"/>
        <v>30.005860603492302</v>
      </c>
      <c r="J17" s="79">
        <f t="shared" si="11"/>
        <v>0.60145361798076658</v>
      </c>
      <c r="K17" s="65">
        <f t="shared" si="12"/>
        <v>30.166343042071198</v>
      </c>
      <c r="L17" s="110">
        <f t="shared" si="0"/>
        <v>49.002931172030372</v>
      </c>
      <c r="M17" s="67">
        <f t="shared" si="1"/>
        <v>9.723426391248572E-3</v>
      </c>
      <c r="N17" s="73">
        <f t="shared" si="2"/>
        <v>15.25726829435826</v>
      </c>
      <c r="O17" s="73">
        <f t="shared" si="3"/>
        <v>44.362731705641728</v>
      </c>
      <c r="P17" s="73">
        <f t="shared" si="13"/>
        <v>59.61999999999999</v>
      </c>
      <c r="R17" s="60"/>
      <c r="S17" s="60"/>
      <c r="T17" s="60"/>
      <c r="U17" s="60"/>
      <c r="V17" s="60"/>
      <c r="W17" s="60"/>
      <c r="X17" s="60"/>
      <c r="Y17" s="60"/>
    </row>
    <row r="18" spans="1:25" x14ac:dyDescent="0.35">
      <c r="A18" s="1">
        <v>4</v>
      </c>
      <c r="B18" s="3">
        <f t="shared" si="4"/>
        <v>3.25</v>
      </c>
      <c r="C18" s="38">
        <f t="shared" si="5"/>
        <v>9.5815486919769626</v>
      </c>
      <c r="D18" s="33">
        <f t="shared" si="14"/>
        <v>0.6763754045307443</v>
      </c>
      <c r="E18" s="70">
        <f t="shared" si="6"/>
        <v>57.942390115925178</v>
      </c>
      <c r="F18" s="50">
        <f t="shared" si="7"/>
        <v>0.20400000000000001</v>
      </c>
      <c r="G18" s="69">
        <f t="shared" si="8"/>
        <v>11.820247583648737</v>
      </c>
      <c r="H18" s="3">
        <f t="shared" si="9"/>
        <v>12.030943261622065</v>
      </c>
      <c r="I18" s="69">
        <f t="shared" si="10"/>
        <v>36.540593840299479</v>
      </c>
      <c r="J18" s="78">
        <f t="shared" si="11"/>
        <v>0.61257297016007684</v>
      </c>
      <c r="K18" s="64">
        <f t="shared" si="12"/>
        <v>36.930097087378641</v>
      </c>
      <c r="L18" s="64">
        <f t="shared" si="0"/>
        <v>58.542589040977667</v>
      </c>
      <c r="M18" s="66">
        <f t="shared" si="1"/>
        <v>1.0358546201695724E-2</v>
      </c>
      <c r="N18" s="75">
        <f t="shared" si="2"/>
        <v>17.475868437069185</v>
      </c>
      <c r="O18" s="75">
        <f t="shared" si="3"/>
        <v>54.024131562930812</v>
      </c>
      <c r="P18" s="75">
        <f t="shared" si="13"/>
        <v>71.5</v>
      </c>
      <c r="R18" s="60"/>
      <c r="S18" s="60"/>
      <c r="T18" s="60"/>
      <c r="U18" s="60"/>
      <c r="V18" s="60"/>
      <c r="W18" s="60"/>
      <c r="X18" s="60"/>
      <c r="Y18" s="60"/>
    </row>
    <row r="19" spans="1:25" x14ac:dyDescent="0.35">
      <c r="A19" s="1">
        <v>5</v>
      </c>
      <c r="B19" s="3">
        <f t="shared" si="4"/>
        <v>3.79</v>
      </c>
      <c r="C19" s="38">
        <f t="shared" si="5"/>
        <v>10.957555855770146</v>
      </c>
      <c r="D19" s="33">
        <f t="shared" si="14"/>
        <v>0.6763754045307443</v>
      </c>
      <c r="E19" s="70">
        <f t="shared" si="6"/>
        <v>67.3537370855436</v>
      </c>
      <c r="F19" s="50">
        <f t="shared" si="7"/>
        <v>0.19536000000000001</v>
      </c>
      <c r="G19" s="69">
        <f t="shared" si="8"/>
        <v>13.158226077031799</v>
      </c>
      <c r="H19" s="3">
        <f t="shared" si="9"/>
        <v>13.242530572382048</v>
      </c>
      <c r="I19" s="69">
        <f t="shared" si="10"/>
        <v>43.237955152741655</v>
      </c>
      <c r="J19" s="78">
        <f t="shared" si="11"/>
        <v>0.62275798821740203</v>
      </c>
      <c r="K19" s="64">
        <f t="shared" si="12"/>
        <v>43.693851132686078</v>
      </c>
      <c r="L19" s="64">
        <f t="shared" si="0"/>
        <v>67.893937560838268</v>
      </c>
      <c r="M19" s="66">
        <f t="shared" si="1"/>
        <v>8.0203489616111207E-3</v>
      </c>
      <c r="N19" s="75">
        <f t="shared" si="2"/>
        <v>19.454028027764718</v>
      </c>
      <c r="O19" s="75">
        <f t="shared" si="3"/>
        <v>63.925971972235274</v>
      </c>
      <c r="P19" s="75">
        <f t="shared" si="13"/>
        <v>83.38</v>
      </c>
      <c r="R19" s="60"/>
      <c r="S19" s="60"/>
      <c r="T19" s="60"/>
      <c r="U19" s="60"/>
      <c r="V19" s="60"/>
      <c r="W19" s="60"/>
      <c r="X19" s="60"/>
      <c r="Y19" s="60"/>
    </row>
    <row r="20" spans="1:25" x14ac:dyDescent="0.35">
      <c r="A20" s="1">
        <v>6</v>
      </c>
      <c r="B20" s="3">
        <f t="shared" si="4"/>
        <v>4.33</v>
      </c>
      <c r="C20" s="38">
        <f t="shared" si="5"/>
        <v>12.333563019563325</v>
      </c>
      <c r="D20" s="33">
        <f t="shared" si="14"/>
        <v>0.6763754045307443</v>
      </c>
      <c r="E20" s="70">
        <f t="shared" si="6"/>
        <v>76.765084055162035</v>
      </c>
      <c r="F20" s="50">
        <f t="shared" si="7"/>
        <v>0.18672</v>
      </c>
      <c r="G20" s="69">
        <f t="shared" si="8"/>
        <v>14.333576494779855</v>
      </c>
      <c r="H20" s="3">
        <f t="shared" si="9"/>
        <v>14.322502939135703</v>
      </c>
      <c r="I20" s="69">
        <f t="shared" si="10"/>
        <v>50.097944540818851</v>
      </c>
      <c r="J20" s="78">
        <f t="shared" si="11"/>
        <v>0.63235231833182681</v>
      </c>
      <c r="K20" s="64">
        <f t="shared" si="12"/>
        <v>50.457605177993521</v>
      </c>
      <c r="L20" s="64">
        <f t="shared" si="0"/>
        <v>77.113671136692545</v>
      </c>
      <c r="M20" s="66">
        <f t="shared" si="1"/>
        <v>4.5409587681819255E-3</v>
      </c>
      <c r="N20" s="75">
        <f t="shared" si="2"/>
        <v>21.191747066444858</v>
      </c>
      <c r="O20" s="75">
        <f t="shared" si="3"/>
        <v>74.068252933555144</v>
      </c>
      <c r="P20" s="75">
        <f t="shared" si="13"/>
        <v>95.26</v>
      </c>
      <c r="R20" s="60"/>
      <c r="S20" s="60"/>
      <c r="T20" s="60"/>
      <c r="U20" s="60"/>
      <c r="V20" s="60"/>
      <c r="W20" s="60"/>
      <c r="X20" s="60"/>
      <c r="Y20" s="60"/>
    </row>
    <row r="21" spans="1:25" x14ac:dyDescent="0.35">
      <c r="A21" s="1">
        <v>7</v>
      </c>
      <c r="B21" s="3">
        <f t="shared" si="4"/>
        <v>4.87</v>
      </c>
      <c r="C21" s="38">
        <f t="shared" si="5"/>
        <v>13.709570183356508</v>
      </c>
      <c r="D21" s="33">
        <f t="shared" si="14"/>
        <v>0.6763754045307443</v>
      </c>
      <c r="E21" s="70">
        <f t="shared" si="6"/>
        <v>86.176431024780442</v>
      </c>
      <c r="F21" s="50">
        <f t="shared" si="7"/>
        <v>0.17808000000000002</v>
      </c>
      <c r="G21" s="69">
        <f t="shared" si="8"/>
        <v>15.346298836892903</v>
      </c>
      <c r="H21" s="3">
        <f t="shared" si="9"/>
        <v>15.30403814831954</v>
      </c>
      <c r="I21" s="69">
        <f t="shared" si="10"/>
        <v>57.120562004531038</v>
      </c>
      <c r="J21" s="78">
        <f t="shared" si="11"/>
        <v>0.6415494879834972</v>
      </c>
      <c r="K21" s="64">
        <f t="shared" si="12"/>
        <v>57.221359223300965</v>
      </c>
      <c r="L21" s="64">
        <f t="shared" si="0"/>
        <v>86.234967554977004</v>
      </c>
      <c r="M21" s="66">
        <f t="shared" si="1"/>
        <v>6.7926380218426426E-4</v>
      </c>
      <c r="N21" s="75">
        <f t="shared" si="2"/>
        <v>22.689025553109605</v>
      </c>
      <c r="O21" s="75">
        <f t="shared" si="3"/>
        <v>84.450974446890399</v>
      </c>
      <c r="P21" s="75">
        <f t="shared" si="13"/>
        <v>107.14</v>
      </c>
      <c r="R21" s="60"/>
      <c r="S21" s="60"/>
      <c r="T21" s="60"/>
      <c r="U21" s="60"/>
      <c r="V21" s="60"/>
      <c r="W21" s="60"/>
      <c r="X21" s="60"/>
      <c r="Y21" s="60"/>
    </row>
    <row r="22" spans="1:25" x14ac:dyDescent="0.35">
      <c r="A22" s="1">
        <v>8</v>
      </c>
      <c r="B22" s="3">
        <f t="shared" si="4"/>
        <v>5.41</v>
      </c>
      <c r="C22" s="38">
        <f t="shared" si="5"/>
        <v>15.085577347149693</v>
      </c>
      <c r="D22" s="33">
        <f t="shared" si="14"/>
        <v>0.6763754045307443</v>
      </c>
      <c r="E22" s="70">
        <f t="shared" si="6"/>
        <v>95.587777994398891</v>
      </c>
      <c r="F22" s="50">
        <f t="shared" si="7"/>
        <v>0.16944000000000001</v>
      </c>
      <c r="G22" s="69">
        <f t="shared" si="8"/>
        <v>16.196393103370948</v>
      </c>
      <c r="H22" s="3">
        <f t="shared" si="9"/>
        <v>16.208490723423264</v>
      </c>
      <c r="I22" s="69">
        <f t="shared" si="10"/>
        <v>64.305807543878245</v>
      </c>
      <c r="J22" s="78">
        <f t="shared" si="11"/>
        <v>0.65046680761720099</v>
      </c>
      <c r="K22" s="64">
        <f t="shared" si="12"/>
        <v>63.985113268608409</v>
      </c>
      <c r="L22" s="64">
        <f t="shared" si="0"/>
        <v>95.279181339181363</v>
      </c>
      <c r="M22" s="66">
        <f t="shared" si="1"/>
        <v>-3.228411222568753E-3</v>
      </c>
      <c r="N22" s="75">
        <f t="shared" si="2"/>
        <v>23.945863487758963</v>
      </c>
      <c r="O22" s="75">
        <f t="shared" si="3"/>
        <v>95.074136512241054</v>
      </c>
      <c r="P22" s="75">
        <f t="shared" si="13"/>
        <v>119.02000000000001</v>
      </c>
      <c r="R22" s="60"/>
      <c r="S22" s="60"/>
      <c r="T22" s="60"/>
      <c r="U22" s="60"/>
      <c r="V22" s="60"/>
      <c r="W22" s="60"/>
      <c r="X22" s="60"/>
      <c r="Y22" s="60"/>
    </row>
    <row r="23" spans="1:25" x14ac:dyDescent="0.35">
      <c r="A23" s="1">
        <v>9</v>
      </c>
      <c r="B23" s="3">
        <f t="shared" si="4"/>
        <v>5.95</v>
      </c>
      <c r="C23" s="38">
        <f t="shared" si="5"/>
        <v>16.461584510942874</v>
      </c>
      <c r="D23" s="33">
        <f t="shared" si="14"/>
        <v>0.6763754045307443</v>
      </c>
      <c r="E23" s="70">
        <f t="shared" si="6"/>
        <v>104.9991249640173</v>
      </c>
      <c r="F23" s="50">
        <f t="shared" si="7"/>
        <v>0.1608</v>
      </c>
      <c r="G23" s="69">
        <f t="shared" si="8"/>
        <v>16.88385929421398</v>
      </c>
      <c r="H23" s="3">
        <f t="shared" si="9"/>
        <v>17.050540924410761</v>
      </c>
      <c r="I23" s="69">
        <f t="shared" si="10"/>
        <v>71.653681158860451</v>
      </c>
      <c r="J23" s="78">
        <f t="shared" si="11"/>
        <v>0.65917952830630022</v>
      </c>
      <c r="K23" s="64">
        <f t="shared" si="12"/>
        <v>70.748867313915852</v>
      </c>
      <c r="L23" s="64">
        <f t="shared" si="0"/>
        <v>104.26099274926949</v>
      </c>
      <c r="M23" s="66">
        <f t="shared" si="1"/>
        <v>-7.0298892014648857E-3</v>
      </c>
      <c r="N23" s="75">
        <f t="shared" si="2"/>
        <v>24.962260870392921</v>
      </c>
      <c r="O23" s="75">
        <f t="shared" si="3"/>
        <v>105.93773912960708</v>
      </c>
      <c r="P23" s="75">
        <f t="shared" si="13"/>
        <v>130.9</v>
      </c>
      <c r="R23" s="61"/>
      <c r="S23" s="61"/>
      <c r="T23" s="61"/>
      <c r="U23" s="61"/>
      <c r="V23" s="60"/>
      <c r="W23" s="60"/>
      <c r="X23" s="60"/>
      <c r="Y23" s="60"/>
    </row>
    <row r="24" spans="1:25" x14ac:dyDescent="0.35">
      <c r="A24" s="4" t="s">
        <v>185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60"/>
      <c r="W24" s="60"/>
      <c r="X24" s="60"/>
      <c r="Y24" s="60"/>
    </row>
    <row r="25" spans="1:25" ht="6" customHeight="1" x14ac:dyDescent="0.35">
      <c r="A25" s="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60"/>
      <c r="W25" s="60"/>
      <c r="X25" s="60"/>
      <c r="Y25" s="60"/>
    </row>
    <row r="26" spans="1:25" x14ac:dyDescent="0.35">
      <c r="A26" s="80" t="s">
        <v>192</v>
      </c>
      <c r="I26" s="80" t="s">
        <v>193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60"/>
      <c r="W26" s="60"/>
      <c r="X26" s="60"/>
      <c r="Y26" s="60"/>
    </row>
    <row r="27" spans="1:25" x14ac:dyDescent="0.35"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</row>
    <row r="28" spans="1:25" x14ac:dyDescent="0.35"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0"/>
    </row>
    <row r="29" spans="1:25" x14ac:dyDescent="0.35">
      <c r="K29" s="51"/>
      <c r="L29" s="51"/>
      <c r="M29" s="51"/>
      <c r="N29" s="51"/>
      <c r="O29" s="51"/>
      <c r="P29" s="51"/>
      <c r="R29" s="51"/>
      <c r="S29" s="51"/>
      <c r="T29" s="53"/>
      <c r="U29" s="51"/>
      <c r="V29" s="51"/>
      <c r="W29" s="51"/>
      <c r="X29" s="51"/>
    </row>
    <row r="30" spans="1:25" x14ac:dyDescent="0.35"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60"/>
    </row>
    <row r="31" spans="1:25" x14ac:dyDescent="0.35"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</row>
    <row r="32" spans="1:25" x14ac:dyDescent="0.35">
      <c r="K32"/>
      <c r="Q32"/>
      <c r="R32"/>
      <c r="S32"/>
      <c r="T32"/>
      <c r="U32"/>
      <c r="V32"/>
      <c r="W32"/>
      <c r="X32"/>
    </row>
    <row r="33" spans="1:24" x14ac:dyDescent="0.35">
      <c r="K33"/>
      <c r="Q33"/>
      <c r="R33"/>
      <c r="S33"/>
      <c r="T33"/>
      <c r="U33"/>
      <c r="V33"/>
      <c r="W33"/>
      <c r="X33"/>
    </row>
    <row r="43" spans="1:24" x14ac:dyDescent="0.35">
      <c r="A43" s="80" t="s">
        <v>191</v>
      </c>
      <c r="I43" s="80" t="s">
        <v>190</v>
      </c>
    </row>
    <row r="58" spans="9:9" x14ac:dyDescent="0.35">
      <c r="I58" s="80"/>
    </row>
  </sheetData>
  <sheetProtection algorithmName="SHA-512" hashValue="6I54qRjZBUu0WOxAXMR4Omcz2KuHgAuaJw/mJ8Q/Em5r325w2DAtTHY2M8YSPErAWCFjcjrB0Zx8qnkR8hTSAQ==" saltValue="4n79+2eM5kIRnpHko+I10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K8" sqref="K8"/>
    </sheetView>
  </sheetViews>
  <sheetFormatPr defaultRowHeight="14.5" x14ac:dyDescent="0.35"/>
  <cols>
    <col min="1" max="1" width="16.90625" style="1" customWidth="1"/>
    <col min="2" max="16384" width="8.7265625" style="1"/>
  </cols>
  <sheetData>
    <row r="1" spans="1:12" x14ac:dyDescent="0.35">
      <c r="A1" s="4" t="s">
        <v>229</v>
      </c>
    </row>
    <row r="2" spans="1:12" x14ac:dyDescent="0.35">
      <c r="A2" s="4" t="s">
        <v>230</v>
      </c>
    </row>
    <row r="3" spans="1:12" x14ac:dyDescent="0.35">
      <c r="A3" s="4" t="s">
        <v>231</v>
      </c>
    </row>
    <row r="5" spans="1:12" x14ac:dyDescent="0.35">
      <c r="A5" s="246" t="str">
        <f>'Hot Water Calcs'!I10</f>
        <v>elec</v>
      </c>
      <c r="B5" s="33">
        <f>IF('Hot Water Calcs'!I10="gas",nMEUL!B9,nMEUL!B8)</f>
        <v>0.84132242814692237</v>
      </c>
      <c r="C5" s="50">
        <f>1-B5</f>
        <v>0.15867757185307763</v>
      </c>
      <c r="G5" s="38"/>
    </row>
    <row r="6" spans="1:12" x14ac:dyDescent="0.35">
      <c r="A6" s="129" t="s">
        <v>243</v>
      </c>
      <c r="B6" s="33"/>
    </row>
    <row r="7" spans="1:12" x14ac:dyDescent="0.35">
      <c r="A7" s="4" t="s">
        <v>24</v>
      </c>
      <c r="B7" s="2" t="s">
        <v>232</v>
      </c>
      <c r="C7" s="2" t="s">
        <v>233</v>
      </c>
      <c r="D7" s="2" t="s">
        <v>234</v>
      </c>
      <c r="E7" s="2" t="s">
        <v>235</v>
      </c>
      <c r="F7" s="2" t="s">
        <v>236</v>
      </c>
      <c r="G7" s="2" t="s">
        <v>237</v>
      </c>
      <c r="H7" s="2" t="s">
        <v>238</v>
      </c>
      <c r="I7" s="2" t="s">
        <v>239</v>
      </c>
      <c r="J7" s="2" t="s">
        <v>240</v>
      </c>
      <c r="K7" s="2" t="s">
        <v>241</v>
      </c>
      <c r="L7" s="2" t="s">
        <v>242</v>
      </c>
    </row>
    <row r="8" spans="1:12" x14ac:dyDescent="0.35">
      <c r="A8" s="4" t="s">
        <v>26</v>
      </c>
      <c r="B8" s="33">
        <f>E8/G8*I8</f>
        <v>0.84132242814692237</v>
      </c>
      <c r="C8" s="33">
        <f>D8*(E8/G8)</f>
        <v>6.0417518594248429</v>
      </c>
      <c r="D8" s="33">
        <f>EC_r/293.08</f>
        <v>7.5592169977001413</v>
      </c>
      <c r="E8" s="33">
        <f>(K8*J8-L8)*(F8*G8*H8)/(J8*D8)</f>
        <v>6.0434014845059139</v>
      </c>
      <c r="F8" s="33">
        <f>(EC_x+pumpkWh_y)/293</f>
        <v>6.359738799394572</v>
      </c>
      <c r="G8" s="33">
        <f>EC_r/293</f>
        <v>7.5612809477336427</v>
      </c>
      <c r="H8" s="3">
        <v>1</v>
      </c>
      <c r="I8" s="1">
        <f>1/0.95</f>
        <v>1.0526315789473684</v>
      </c>
      <c r="J8" s="3">
        <f>1/EFuse</f>
        <v>1.0526315789473684</v>
      </c>
      <c r="K8" s="107">
        <v>0.95</v>
      </c>
      <c r="L8" s="107">
        <v>0</v>
      </c>
    </row>
    <row r="9" spans="1:12" x14ac:dyDescent="0.35">
      <c r="A9" s="4" t="s">
        <v>25</v>
      </c>
      <c r="B9" s="33">
        <f>E9/G9*I9</f>
        <v>0.29341656345889155</v>
      </c>
      <c r="C9" s="33">
        <f>D9*(E9/G9)</f>
        <v>40.303179720352702</v>
      </c>
      <c r="D9" s="33">
        <f>EC_r/10</f>
        <v>221.54553176859571</v>
      </c>
      <c r="E9" s="33">
        <f>(K9*J9-L9)*(F9*G9*H9)/(J9*D9)</f>
        <v>40.303179720352702</v>
      </c>
      <c r="F9" s="33">
        <f>EC_x/10+pumpkWh_y/293</f>
        <v>185.85741166867737</v>
      </c>
      <c r="G9" s="33">
        <f>EC_r/10</f>
        <v>221.54553176859571</v>
      </c>
      <c r="H9" s="3">
        <v>1</v>
      </c>
      <c r="I9" s="1">
        <f>1/0.62</f>
        <v>1.6129032258064517</v>
      </c>
      <c r="J9" s="3">
        <f>1/EFuse</f>
        <v>1.0526315789473684</v>
      </c>
      <c r="K9" s="107">
        <v>1.3774333333333331</v>
      </c>
      <c r="L9" s="107">
        <v>1.2216666666666662</v>
      </c>
    </row>
  </sheetData>
  <sheetProtection algorithmName="SHA-512" hashValue="iC7hfJWiHA7j4t8s/iSYT2OQGKHcf209NHVagNBTQ74Q60bhEUKOo1zHyyy24kraLpKdMiWqWCDtIE1YO2Q0sQ==" saltValue="SoI0FpcsZ5VXbV0srhiGUQ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E1" workbookViewId="0">
      <selection activeCell="V8" sqref="V8"/>
    </sheetView>
  </sheetViews>
  <sheetFormatPr defaultRowHeight="14.5" x14ac:dyDescent="0.35"/>
  <cols>
    <col min="1" max="4" width="8.7265625" style="1"/>
    <col min="5" max="5" width="1.6328125" style="1" customWidth="1"/>
    <col min="6" max="8" width="8.7265625" style="1"/>
    <col min="9" max="9" width="1.6328125" style="1" customWidth="1"/>
    <col min="10" max="12" width="8.7265625" style="1"/>
    <col min="13" max="13" width="1.6328125" style="1" customWidth="1"/>
    <col min="14" max="16" width="8.7265625" style="1"/>
    <col min="17" max="17" width="1.6328125" style="1" customWidth="1"/>
    <col min="18" max="20" width="8.7265625" style="1"/>
    <col min="21" max="21" width="1.6328125" style="1" customWidth="1"/>
    <col min="22" max="16384" width="8.7265625" style="1"/>
  </cols>
  <sheetData>
    <row r="1" spans="1:24" x14ac:dyDescent="0.35">
      <c r="A1" s="1" t="s">
        <v>244</v>
      </c>
    </row>
    <row r="2" spans="1:24" x14ac:dyDescent="0.35">
      <c r="B2" s="306" t="s">
        <v>28</v>
      </c>
      <c r="C2" s="307"/>
      <c r="D2" s="308"/>
      <c r="F2" s="306" t="s">
        <v>223</v>
      </c>
      <c r="G2" s="307"/>
      <c r="H2" s="308"/>
      <c r="J2" s="306" t="s">
        <v>219</v>
      </c>
      <c r="K2" s="307"/>
      <c r="L2" s="308"/>
      <c r="N2" s="306" t="s">
        <v>245</v>
      </c>
      <c r="O2" s="307"/>
      <c r="P2" s="308"/>
      <c r="R2" s="306" t="s">
        <v>217</v>
      </c>
      <c r="S2" s="307"/>
      <c r="T2" s="308"/>
      <c r="V2" s="306" t="s">
        <v>218</v>
      </c>
      <c r="W2" s="307"/>
      <c r="X2" s="308"/>
    </row>
    <row r="3" spans="1:24" x14ac:dyDescent="0.35">
      <c r="B3" s="248" t="s">
        <v>246</v>
      </c>
      <c r="C3" s="249" t="s">
        <v>247</v>
      </c>
      <c r="D3" s="250" t="s">
        <v>248</v>
      </c>
      <c r="F3" s="248" t="s">
        <v>246</v>
      </c>
      <c r="G3" s="249" t="s">
        <v>247</v>
      </c>
      <c r="H3" s="250" t="s">
        <v>248</v>
      </c>
      <c r="J3" s="248" t="s">
        <v>246</v>
      </c>
      <c r="K3" s="249" t="s">
        <v>247</v>
      </c>
      <c r="L3" s="250" t="s">
        <v>248</v>
      </c>
      <c r="N3" s="248" t="s">
        <v>246</v>
      </c>
      <c r="O3" s="249" t="s">
        <v>247</v>
      </c>
      <c r="P3" s="250" t="s">
        <v>248</v>
      </c>
      <c r="R3" s="248" t="s">
        <v>246</v>
      </c>
      <c r="S3" s="249" t="s">
        <v>247</v>
      </c>
      <c r="T3" s="250" t="s">
        <v>248</v>
      </c>
      <c r="V3" s="248" t="s">
        <v>246</v>
      </c>
      <c r="W3" s="249" t="s">
        <v>247</v>
      </c>
      <c r="X3" s="250" t="s">
        <v>248</v>
      </c>
    </row>
    <row r="4" spans="1:24" x14ac:dyDescent="0.35">
      <c r="A4" s="1" t="s">
        <v>249</v>
      </c>
      <c r="B4" s="251">
        <v>2.4700000000000002</v>
      </c>
      <c r="C4" s="252">
        <v>1.56</v>
      </c>
      <c r="D4" s="253">
        <f>C4/B4</f>
        <v>0.63157894736842102</v>
      </c>
      <c r="F4" s="254">
        <v>7</v>
      </c>
      <c r="G4" s="255">
        <v>5.09</v>
      </c>
      <c r="H4" s="253">
        <f>G4/F4</f>
        <v>0.72714285714285709</v>
      </c>
      <c r="J4" s="254">
        <v>7.22</v>
      </c>
      <c r="K4" s="255">
        <v>5.22</v>
      </c>
      <c r="L4" s="253">
        <f>K4/J4</f>
        <v>0.7229916897506925</v>
      </c>
      <c r="N4" s="254">
        <v>8.43</v>
      </c>
      <c r="O4" s="255">
        <v>6.07</v>
      </c>
      <c r="P4" s="253">
        <f>O4/N4</f>
        <v>0.72004744958481615</v>
      </c>
      <c r="R4" s="254">
        <v>14.41</v>
      </c>
      <c r="S4" s="255">
        <v>10.75</v>
      </c>
      <c r="T4" s="253">
        <f>S4/R4</f>
        <v>0.74600971547536432</v>
      </c>
      <c r="V4" s="254">
        <v>16.95</v>
      </c>
      <c r="W4" s="255">
        <v>12.29</v>
      </c>
      <c r="X4" s="253">
        <f>W4/V4</f>
        <v>0.7250737463126844</v>
      </c>
    </row>
    <row r="5" spans="1:24" x14ac:dyDescent="0.35">
      <c r="A5" s="1" t="s">
        <v>250</v>
      </c>
      <c r="B5" s="251">
        <v>85.19</v>
      </c>
      <c r="C5" s="252">
        <v>68.709999999999994</v>
      </c>
      <c r="D5" s="253">
        <f t="shared" ref="D5:D7" si="0">C5/B5</f>
        <v>0.80655006456156819</v>
      </c>
      <c r="F5" s="254">
        <v>67.41</v>
      </c>
      <c r="G5" s="255">
        <v>55.27</v>
      </c>
      <c r="H5" s="253">
        <f t="shared" ref="H5:H7" si="1">G5/F5</f>
        <v>0.81990802551550224</v>
      </c>
      <c r="J5" s="254">
        <v>61.08</v>
      </c>
      <c r="K5" s="255">
        <v>49.62</v>
      </c>
      <c r="L5" s="253">
        <f t="shared" ref="L5:L7" si="2">K5/J5</f>
        <v>0.81237721021610998</v>
      </c>
      <c r="N5" s="254">
        <v>58.27</v>
      </c>
      <c r="O5" s="255">
        <v>47.92</v>
      </c>
      <c r="P5" s="253">
        <f t="shared" ref="P5:P7" si="3">O5/N5</f>
        <v>0.82237858246095763</v>
      </c>
      <c r="R5" s="254">
        <v>51.35</v>
      </c>
      <c r="S5" s="255">
        <v>42.15</v>
      </c>
      <c r="T5" s="253">
        <f t="shared" ref="T5:T7" si="4">S5/R5</f>
        <v>0.82083739045764359</v>
      </c>
      <c r="V5" s="254">
        <v>49.34</v>
      </c>
      <c r="W5" s="255">
        <v>39.89</v>
      </c>
      <c r="X5" s="253">
        <f t="shared" ref="X5:X7" si="5">W5/V5</f>
        <v>0.80847182813133356</v>
      </c>
    </row>
    <row r="6" spans="1:24" x14ac:dyDescent="0.35">
      <c r="A6" s="1" t="s">
        <v>251</v>
      </c>
      <c r="B6" s="251">
        <v>6.89</v>
      </c>
      <c r="C6" s="252">
        <v>6.89</v>
      </c>
      <c r="D6" s="253">
        <f t="shared" si="0"/>
        <v>1</v>
      </c>
      <c r="F6" s="254">
        <v>7.61</v>
      </c>
      <c r="G6" s="255">
        <v>7.61</v>
      </c>
      <c r="H6" s="253">
        <f t="shared" si="1"/>
        <v>1</v>
      </c>
      <c r="J6" s="254">
        <v>7.74</v>
      </c>
      <c r="K6" s="255">
        <v>7.74</v>
      </c>
      <c r="L6" s="253">
        <f t="shared" si="2"/>
        <v>1</v>
      </c>
      <c r="N6" s="254">
        <v>7.94</v>
      </c>
      <c r="O6" s="255">
        <v>7.94</v>
      </c>
      <c r="P6" s="253">
        <f t="shared" si="3"/>
        <v>1</v>
      </c>
      <c r="R6" s="254">
        <v>8.39</v>
      </c>
      <c r="S6" s="255">
        <v>8.39</v>
      </c>
      <c r="T6" s="253">
        <f t="shared" si="4"/>
        <v>1</v>
      </c>
      <c r="V6" s="254">
        <v>8.58</v>
      </c>
      <c r="W6" s="255">
        <v>8.58</v>
      </c>
      <c r="X6" s="253">
        <f t="shared" si="5"/>
        <v>1</v>
      </c>
    </row>
    <row r="7" spans="1:24" x14ac:dyDescent="0.35">
      <c r="A7" s="1" t="s">
        <v>252</v>
      </c>
      <c r="B7" s="256">
        <f>SUM(B4:B6)</f>
        <v>94.55</v>
      </c>
      <c r="C7" s="257">
        <f>SUM(C4:C6)</f>
        <v>77.16</v>
      </c>
      <c r="D7" s="258">
        <f t="shared" si="0"/>
        <v>0.81607615018508728</v>
      </c>
      <c r="F7" s="256">
        <f>SUM(F4:F6)</f>
        <v>82.02</v>
      </c>
      <c r="G7" s="257">
        <f>SUM(G4:G6)</f>
        <v>67.97</v>
      </c>
      <c r="H7" s="258">
        <f t="shared" si="1"/>
        <v>0.82870031699585467</v>
      </c>
      <c r="J7" s="256">
        <f>SUM(J4:J6)</f>
        <v>76.039999999999992</v>
      </c>
      <c r="K7" s="257">
        <f>SUM(K4:K6)</f>
        <v>62.58</v>
      </c>
      <c r="L7" s="258">
        <f t="shared" si="2"/>
        <v>0.82298790110468178</v>
      </c>
      <c r="N7" s="256">
        <f>SUM(N4:N6)</f>
        <v>74.64</v>
      </c>
      <c r="O7" s="257">
        <f>SUM(O4:O6)</f>
        <v>61.93</v>
      </c>
      <c r="P7" s="258">
        <f t="shared" si="3"/>
        <v>0.82971596998928188</v>
      </c>
      <c r="R7" s="256">
        <f>SUM(R4:R6)</f>
        <v>74.150000000000006</v>
      </c>
      <c r="S7" s="257">
        <f>SUM(S4:S6)</f>
        <v>61.29</v>
      </c>
      <c r="T7" s="258">
        <f t="shared" si="4"/>
        <v>0.82656776803776122</v>
      </c>
      <c r="V7" s="256">
        <f>SUM(V4:V6)</f>
        <v>74.87</v>
      </c>
      <c r="W7" s="257">
        <f>SUM(W4:W6)</f>
        <v>60.76</v>
      </c>
      <c r="X7" s="258">
        <f t="shared" si="5"/>
        <v>0.81154000267129689</v>
      </c>
    </row>
    <row r="8" spans="1:24" x14ac:dyDescent="0.35">
      <c r="A8" s="1" t="s">
        <v>253</v>
      </c>
      <c r="B8" s="259">
        <f>B6/B7</f>
        <v>7.2871496562665256E-2</v>
      </c>
      <c r="F8" s="259">
        <f>F6/F7</f>
        <v>9.2782248232138514E-2</v>
      </c>
      <c r="J8" s="259">
        <f>J6/J7</f>
        <v>0.10178853235139401</v>
      </c>
      <c r="N8" s="259">
        <f>N6/N7</f>
        <v>0.10637727759914256</v>
      </c>
      <c r="R8" s="259">
        <f>R6/R7</f>
        <v>0.11314902225219151</v>
      </c>
      <c r="V8" s="259">
        <f>V6/V7</f>
        <v>0.11459863763857352</v>
      </c>
    </row>
  </sheetData>
  <sheetProtection algorithmName="SHA-512" hashValue="m4iIvCuDhTiLogfgVRGPQq9+Uq4GgP/13t4qziOgFMRUcVWhua2/yQGKMVG/X4g/kmj6iKJiMD8n9dOZGCOoLw==" saltValue="yyz6CnYg1yVX0639gruLPQ==" spinCount="100000" sheet="1" objects="1" scenarios="1"/>
  <mergeCells count="6">
    <mergeCell ref="V2:X2"/>
    <mergeCell ref="B2:D2"/>
    <mergeCell ref="F2:H2"/>
    <mergeCell ref="J2:L2"/>
    <mergeCell ref="N2:P2"/>
    <mergeCell ref="R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71</vt:i4>
      </vt:variant>
    </vt:vector>
  </HeadingPairs>
  <TitlesOfParts>
    <vt:vector size="77" baseType="lpstr">
      <vt:lpstr>Hot Water Calcs</vt:lpstr>
      <vt:lpstr>Monthly Calcs</vt:lpstr>
      <vt:lpstr>Tmains</vt:lpstr>
      <vt:lpstr>gpd</vt:lpstr>
      <vt:lpstr>nMEUL</vt:lpstr>
      <vt:lpstr>HW%</vt:lpstr>
      <vt:lpstr>ACY</vt:lpstr>
      <vt:lpstr>adjFmix</vt:lpstr>
      <vt:lpstr>AGC</vt:lpstr>
      <vt:lpstr>branchL</vt:lpstr>
      <vt:lpstr>Bsmt</vt:lpstr>
      <vt:lpstr>CAPw</vt:lpstr>
      <vt:lpstr>CFA</vt:lpstr>
      <vt:lpstr>CWgpd</vt:lpstr>
      <vt:lpstr>DW_EF</vt:lpstr>
      <vt:lpstr>dWcap</vt:lpstr>
      <vt:lpstr>DWgpd</vt:lpstr>
      <vt:lpstr>DWHReff</vt:lpstr>
      <vt:lpstr>DWHRinT</vt:lpstr>
      <vt:lpstr>e_mult</vt:lpstr>
      <vt:lpstr>EC_r</vt:lpstr>
      <vt:lpstr>EC_x</vt:lpstr>
      <vt:lpstr>EDeff</vt:lpstr>
      <vt:lpstr>EFuse</vt:lpstr>
      <vt:lpstr>eRatio</vt:lpstr>
      <vt:lpstr>Ewaste</vt:lpstr>
      <vt:lpstr>Feff</vt:lpstr>
      <vt:lpstr>FixF</vt:lpstr>
      <vt:lpstr>Fmix</vt:lpstr>
      <vt:lpstr>g_mult</vt:lpstr>
      <vt:lpstr>gdp_ratio</vt:lpstr>
      <vt:lpstr>HW_Climate_factor</vt:lpstr>
      <vt:lpstr>HWgpd</vt:lpstr>
      <vt:lpstr>Ifrac</vt:lpstr>
      <vt:lpstr>kWh_cost</vt:lpstr>
      <vt:lpstr>LER</vt:lpstr>
      <vt:lpstr>LocF</vt:lpstr>
      <vt:lpstr>loopL</vt:lpstr>
      <vt:lpstr>Nbr</vt:lpstr>
      <vt:lpstr>NCY</vt:lpstr>
      <vt:lpstr>Ndu</vt:lpstr>
      <vt:lpstr>Nfl</vt:lpstr>
      <vt:lpstr>oCDeff</vt:lpstr>
      <vt:lpstr>oEWfact</vt:lpstr>
      <vt:lpstr>oFrac</vt:lpstr>
      <vt:lpstr>oWgdp</vt:lpstr>
      <vt:lpstr>PipeL</vt:lpstr>
      <vt:lpstr>PLC</vt:lpstr>
      <vt:lpstr>PLCfact</vt:lpstr>
      <vt:lpstr>pLength</vt:lpstr>
      <vt:lpstr>pRatio</vt:lpstr>
      <vt:lpstr>pumpkWh_y</vt:lpstr>
      <vt:lpstr>pumpW</vt:lpstr>
      <vt:lpstr>ratedEFe</vt:lpstr>
      <vt:lpstr>ratedEFg</vt:lpstr>
      <vt:lpstr>refCWgpd</vt:lpstr>
      <vt:lpstr>refDWgpd</vt:lpstr>
      <vt:lpstr>refFgpd</vt:lpstr>
      <vt:lpstr>refHWgpd</vt:lpstr>
      <vt:lpstr>refLoopL</vt:lpstr>
      <vt:lpstr>refPipeL</vt:lpstr>
      <vt:lpstr>refWgpd</vt:lpstr>
      <vt:lpstr>sEWfact</vt:lpstr>
      <vt:lpstr>sWgdp</vt:lpstr>
      <vt:lpstr>sysFactor</vt:lpstr>
      <vt:lpstr>Tavg</vt:lpstr>
      <vt:lpstr>therm_cost</vt:lpstr>
      <vt:lpstr>therms_y</vt:lpstr>
      <vt:lpstr>Tmains</vt:lpstr>
      <vt:lpstr>Tmains_offset</vt:lpstr>
      <vt:lpstr>Tset</vt:lpstr>
      <vt:lpstr>Tuse</vt:lpstr>
      <vt:lpstr>VC</vt:lpstr>
      <vt:lpstr>VintFact</vt:lpstr>
      <vt:lpstr>WDeff</vt:lpstr>
      <vt:lpstr>WHinT</vt:lpstr>
      <vt:lpstr>WHinTadj</vt:lpstr>
    </vt:vector>
  </TitlesOfParts>
  <Company>Architectural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Philip Fairey</cp:lastModifiedBy>
  <cp:lastPrinted>2015-06-18T16:53:10Z</cp:lastPrinted>
  <dcterms:created xsi:type="dcterms:W3CDTF">2014-02-20T17:36:44Z</dcterms:created>
  <dcterms:modified xsi:type="dcterms:W3CDTF">2017-02-15T20:54:57Z</dcterms:modified>
</cp:coreProperties>
</file>